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Main" sheetId="2" r:id="rId2"/>
    <sheet name="Dropdown Menus" sheetId="3" state="hidden" r:id="rId3"/>
    <sheet name="DB" sheetId="4" state="hidden" r:id="rId4"/>
    <sheet name="Summary" sheetId="5" r:id="rId5"/>
    <sheet name="SI" sheetId="6" state="hidden" r:id="rId6"/>
  </sheets>
  <definedNames>
    <definedName name="A18RuleB1a2a1b2b3">'Dropdown Menus'!$A$18:$A$29</definedName>
    <definedName name="AssessmentRange">'Dropdown Menus'!$A$2:$A$4</definedName>
    <definedName name="Belief">'Dropdown Menus'!$A$18:$A$29</definedName>
    <definedName name="beliefbestupper">'Dropdown Menus'!$A$32:$A$42</definedName>
    <definedName name="belieflower">'Dropdown Menus'!$A$18:$A$29</definedName>
    <definedName name="beliefupper">'Dropdown Menus'!$A$18:$A$29</definedName>
    <definedName name="ContDeclineThreatProcess">'Dropdown Menus'!$A$45:$A$47</definedName>
    <definedName name="FutureEstimates">'Dropdown Menus'!$A$13:$A$15</definedName>
    <definedName name="measuredecl">'Dropdown Menus'!$A$50:$A$52</definedName>
    <definedName name="PastEstimates">'Dropdown Menus'!$A$7:$A$10</definedName>
    <definedName name="RuleA1A3">'Dropdown Menus'!$A$7:$A$10</definedName>
    <definedName name="RuleA2">'Dropdown Menus'!$A$13:$A$15</definedName>
    <definedName name="RuleA4">'Dropdown Menus'!#REF!</definedName>
    <definedName name="RuleB1">'Dropdown Menus'!#REF!</definedName>
    <definedName name="RuleB1b2b">'Dropdown Menus'!$A$45:$A$47</definedName>
    <definedName name="RuleC1a2a">'Dropdown Menus'!#REF!</definedName>
    <definedName name="RuleC1a2aD">'Dropdown Menus'!$A$18:$A$30</definedName>
    <definedName name="RuleC1b2b">'Dropdown Menus'!#REF!</definedName>
    <definedName name="RuleC1b2btype">'Dropdown Menus'!#REF!</definedName>
    <definedName name="RuleD">'Dropdown Menus'!#REF!</definedName>
  </definedNames>
  <calcPr fullCalcOnLoad="1"/>
</workbook>
</file>

<file path=xl/comments2.xml><?xml version="1.0" encoding="utf-8"?>
<comments xmlns="http://schemas.openxmlformats.org/spreadsheetml/2006/main">
  <authors>
    <author>mackenb</author>
    <author>Berin</author>
  </authors>
  <commentList>
    <comment ref="B36" authorId="0">
      <text>
        <r>
          <rPr>
            <sz val="10"/>
            <rFont val="Tahoma"/>
            <family val="2"/>
          </rPr>
          <t xml:space="preserve">Refer to Keith et al. (in prep.) for further details.  </t>
        </r>
        <r>
          <rPr>
            <sz val="8"/>
            <rFont val="Tahoma"/>
            <family val="2"/>
          </rPr>
          <t xml:space="preserve">
</t>
        </r>
      </text>
    </comment>
    <comment ref="B39" authorId="0">
      <text>
        <r>
          <rPr>
            <sz val="10"/>
            <rFont val="Tahoma"/>
            <family val="2"/>
          </rPr>
          <t>Refer to Keith et al. (in prep.) for further details.</t>
        </r>
      </text>
    </comment>
    <comment ref="B47" authorId="1">
      <text>
        <r>
          <rPr>
            <sz val="10"/>
            <rFont val="Tahoma"/>
            <family val="2"/>
          </rPr>
          <t>The term ‘location’ defines a geographically or ecologically distinct area in which a single threatening event can rapidly affect all individuals of the taxon present. The size of the location depends on the area covered by the threatening event and may include part of one or many subpopulations. Where a taxon is affected by more than one threatening event, location should be defined by considering the most serious plausible threat. Refer to Keith et al. (in prep.) for further details.</t>
        </r>
      </text>
    </comment>
    <comment ref="B41" authorId="1">
      <text>
        <r>
          <rPr>
            <sz val="10"/>
            <rFont val="Tahoma"/>
            <family val="2"/>
          </rPr>
          <t>A continuing decline is a recent, current or projected future decline (which may be smooth, irregular or sporadic) which is liable to continue unless remedial measures are taken. Fluctuations will not normally count as continuing declines, but an observed decline should not be considered as a fluctuation unless there is evidence for this. Refer to Keith et al. (in prep.) for further details.
i. a measure of spatial extent appropriate to the ecosystem; or
ii. a measure of environmental quality appropriate to the characteristic biota of the ecosystem; or
iii. a measure of disruption to biotic interactions appropriate to the characteristic biota of the ecosystem;</t>
        </r>
        <r>
          <rPr>
            <sz val="8"/>
            <rFont val="Tahoma"/>
            <family val="2"/>
          </rPr>
          <t xml:space="preserve">
</t>
        </r>
      </text>
    </comment>
    <comment ref="O14" authorId="0">
      <text>
        <r>
          <rPr>
            <b/>
            <sz val="10"/>
            <rFont val="Tahoma"/>
            <family val="2"/>
          </rPr>
          <t>A</t>
        </r>
        <r>
          <rPr>
            <sz val="10"/>
            <rFont val="Tahoma"/>
            <family val="2"/>
          </rPr>
          <t xml:space="preserve">
Reduction in geographic distribution</t>
        </r>
      </text>
    </comment>
    <comment ref="Q14" authorId="0">
      <text>
        <r>
          <rPr>
            <b/>
            <sz val="10"/>
            <rFont val="Tahoma"/>
            <family val="2"/>
          </rPr>
          <t>B</t>
        </r>
        <r>
          <rPr>
            <sz val="10"/>
            <rFont val="Tahoma"/>
            <family val="2"/>
          </rPr>
          <t xml:space="preserve">
Restricted geographic distribution </t>
        </r>
      </text>
    </comment>
    <comment ref="V14" authorId="0">
      <text>
        <r>
          <rPr>
            <b/>
            <sz val="10"/>
            <rFont val="Tahoma"/>
            <family val="2"/>
          </rPr>
          <t>C</t>
        </r>
        <r>
          <rPr>
            <sz val="10"/>
            <rFont val="Tahoma"/>
            <family val="2"/>
          </rPr>
          <t xml:space="preserve">
Degradation in a component of the abiotic environment that reduces habitat quality for characteristic biota</t>
        </r>
      </text>
    </comment>
    <comment ref="Z14" authorId="0">
      <text>
        <r>
          <rPr>
            <b/>
            <sz val="10"/>
            <rFont val="Tahoma"/>
            <family val="2"/>
          </rPr>
          <t>D</t>
        </r>
        <r>
          <rPr>
            <sz val="10"/>
            <rFont val="Tahoma"/>
            <family val="2"/>
          </rPr>
          <t xml:space="preserve">
Disruption of biotic interactions that sustain the characteristic biota</t>
        </r>
      </text>
    </comment>
    <comment ref="AA14" authorId="0">
      <text>
        <r>
          <rPr>
            <b/>
            <sz val="10"/>
            <rFont val="Tahoma"/>
            <family val="2"/>
          </rPr>
          <t>E</t>
        </r>
        <r>
          <rPr>
            <sz val="10"/>
            <rFont val="Tahoma"/>
            <family val="2"/>
          </rPr>
          <t xml:space="preserve">
Quantitative analysis of probability of extinction</t>
        </r>
      </text>
    </comment>
    <comment ref="AA19" authorId="0">
      <text>
        <r>
          <rPr>
            <b/>
            <sz val="10"/>
            <rFont val="Tahoma"/>
            <family val="2"/>
          </rPr>
          <t>E</t>
        </r>
        <r>
          <rPr>
            <sz val="10"/>
            <rFont val="Tahoma"/>
            <family val="2"/>
          </rPr>
          <t xml:space="preserve">
Quantitative analysis of probability of extinction</t>
        </r>
      </text>
    </comment>
    <comment ref="AA20" authorId="0">
      <text>
        <r>
          <rPr>
            <b/>
            <sz val="10"/>
            <rFont val="Tahoma"/>
            <family val="2"/>
          </rPr>
          <t>E</t>
        </r>
        <r>
          <rPr>
            <sz val="10"/>
            <rFont val="Tahoma"/>
            <family val="2"/>
          </rPr>
          <t xml:space="preserve">
Quantitative analysis of probability of extinction</t>
        </r>
      </text>
    </comment>
    <comment ref="AA21" authorId="0">
      <text>
        <r>
          <rPr>
            <b/>
            <sz val="10"/>
            <rFont val="Tahoma"/>
            <family val="2"/>
          </rPr>
          <t>E</t>
        </r>
        <r>
          <rPr>
            <sz val="10"/>
            <rFont val="Tahoma"/>
            <family val="2"/>
          </rPr>
          <t xml:space="preserve">
Quantitative analysis of probability of extinction</t>
        </r>
      </text>
    </comment>
    <comment ref="O19" authorId="0">
      <text>
        <r>
          <rPr>
            <b/>
            <sz val="10"/>
            <rFont val="Tahoma"/>
            <family val="2"/>
          </rPr>
          <t>A1</t>
        </r>
        <r>
          <rPr>
            <sz val="10"/>
            <rFont val="Tahoma"/>
            <family val="2"/>
          </rPr>
          <t xml:space="preserve">
Past reduction in geographic distribution</t>
        </r>
      </text>
    </comment>
    <comment ref="O22" authorId="0">
      <text>
        <r>
          <rPr>
            <b/>
            <sz val="10"/>
            <rFont val="Tahoma"/>
            <family val="2"/>
          </rPr>
          <t xml:space="preserve">A2
a) </t>
        </r>
        <r>
          <rPr>
            <sz val="10"/>
            <rFont val="Tahoma"/>
            <family val="2"/>
          </rPr>
          <t xml:space="preserve">Future, or </t>
        </r>
        <r>
          <rPr>
            <b/>
            <sz val="10"/>
            <rFont val="Tahoma"/>
            <family val="2"/>
          </rPr>
          <t xml:space="preserve">b) </t>
        </r>
        <r>
          <rPr>
            <sz val="10"/>
            <rFont val="Tahoma"/>
            <family val="2"/>
          </rPr>
          <t>past and future reduction in geographic distribution</t>
        </r>
      </text>
    </comment>
    <comment ref="O25" authorId="0">
      <text>
        <r>
          <rPr>
            <b/>
            <sz val="10"/>
            <rFont val="Tahoma"/>
            <family val="2"/>
          </rPr>
          <t>A3</t>
        </r>
        <r>
          <rPr>
            <sz val="10"/>
            <rFont val="Tahoma"/>
            <family val="2"/>
          </rPr>
          <t xml:space="preserve">
Long-term reduction in geographic distribution</t>
        </r>
      </text>
    </comment>
    <comment ref="AE32" authorId="0">
      <text>
        <r>
          <rPr>
            <b/>
            <sz val="8"/>
            <rFont val="Tahoma"/>
            <family val="2"/>
          </rPr>
          <t xml:space="preserve">Note:
</t>
        </r>
        <r>
          <rPr>
            <sz val="8"/>
            <rFont val="Tahoma"/>
            <family val="2"/>
          </rPr>
          <t>This column shows the highest potential category for which an ecosystem can score based on each individual subrule. For the final overall category, please see the summary table directly above.</t>
        </r>
        <r>
          <rPr>
            <sz val="8"/>
            <rFont val="Tahoma"/>
            <family val="2"/>
          </rPr>
          <t xml:space="preserve">
</t>
        </r>
      </text>
    </comment>
    <comment ref="O20" authorId="0">
      <text>
        <r>
          <rPr>
            <b/>
            <sz val="10"/>
            <rFont val="Tahoma"/>
            <family val="2"/>
          </rPr>
          <t>A1</t>
        </r>
        <r>
          <rPr>
            <sz val="10"/>
            <rFont val="Tahoma"/>
            <family val="2"/>
          </rPr>
          <t xml:space="preserve">
Past reduction in geographic distribution</t>
        </r>
      </text>
    </comment>
    <comment ref="O21" authorId="0">
      <text>
        <r>
          <rPr>
            <b/>
            <sz val="10"/>
            <rFont val="Tahoma"/>
            <family val="2"/>
          </rPr>
          <t>A1</t>
        </r>
        <r>
          <rPr>
            <sz val="10"/>
            <rFont val="Tahoma"/>
            <family val="2"/>
          </rPr>
          <t xml:space="preserve">
Past reduction in geographic distribution</t>
        </r>
      </text>
    </comment>
    <comment ref="O23" authorId="0">
      <text>
        <r>
          <rPr>
            <b/>
            <sz val="10"/>
            <rFont val="Tahoma"/>
            <family val="2"/>
          </rPr>
          <t xml:space="preserve">A2
a) </t>
        </r>
        <r>
          <rPr>
            <sz val="10"/>
            <rFont val="Tahoma"/>
            <family val="2"/>
          </rPr>
          <t xml:space="preserve">Future, or </t>
        </r>
        <r>
          <rPr>
            <b/>
            <sz val="10"/>
            <rFont val="Tahoma"/>
            <family val="2"/>
          </rPr>
          <t xml:space="preserve">b) </t>
        </r>
        <r>
          <rPr>
            <sz val="10"/>
            <rFont val="Tahoma"/>
            <family val="2"/>
          </rPr>
          <t>past and future reduction in geographic distribution</t>
        </r>
      </text>
    </comment>
    <comment ref="O24" authorId="0">
      <text>
        <r>
          <rPr>
            <b/>
            <sz val="10"/>
            <rFont val="Tahoma"/>
            <family val="2"/>
          </rPr>
          <t xml:space="preserve">A2
a) </t>
        </r>
        <r>
          <rPr>
            <sz val="10"/>
            <rFont val="Tahoma"/>
            <family val="2"/>
          </rPr>
          <t xml:space="preserve">Future, or </t>
        </r>
        <r>
          <rPr>
            <b/>
            <sz val="10"/>
            <rFont val="Tahoma"/>
            <family val="2"/>
          </rPr>
          <t xml:space="preserve">b) </t>
        </r>
        <r>
          <rPr>
            <sz val="10"/>
            <rFont val="Tahoma"/>
            <family val="2"/>
          </rPr>
          <t>past and future reduction in geographic distribution</t>
        </r>
      </text>
    </comment>
    <comment ref="O26" authorId="0">
      <text>
        <r>
          <rPr>
            <b/>
            <sz val="10"/>
            <rFont val="Tahoma"/>
            <family val="2"/>
          </rPr>
          <t>A3</t>
        </r>
        <r>
          <rPr>
            <sz val="10"/>
            <rFont val="Tahoma"/>
            <family val="2"/>
          </rPr>
          <t xml:space="preserve">
Long-term reduction in geographic distribution</t>
        </r>
      </text>
    </comment>
    <comment ref="O27" authorId="0">
      <text>
        <r>
          <rPr>
            <b/>
            <sz val="10"/>
            <rFont val="Tahoma"/>
            <family val="2"/>
          </rPr>
          <t>A3</t>
        </r>
        <r>
          <rPr>
            <sz val="10"/>
            <rFont val="Tahoma"/>
            <family val="2"/>
          </rPr>
          <t xml:space="preserve">
Long-term reduction in geographic distribution</t>
        </r>
      </text>
    </comment>
    <comment ref="O15" authorId="0">
      <text>
        <r>
          <rPr>
            <b/>
            <sz val="10"/>
            <rFont val="Tahoma"/>
            <family val="2"/>
          </rPr>
          <t>A</t>
        </r>
        <r>
          <rPr>
            <sz val="10"/>
            <rFont val="Tahoma"/>
            <family val="2"/>
          </rPr>
          <t xml:space="preserve">
Reduction in geographic distribution</t>
        </r>
      </text>
    </comment>
    <comment ref="O16" authorId="0">
      <text>
        <r>
          <rPr>
            <b/>
            <sz val="10"/>
            <rFont val="Tahoma"/>
            <family val="2"/>
          </rPr>
          <t>A</t>
        </r>
        <r>
          <rPr>
            <sz val="10"/>
            <rFont val="Tahoma"/>
            <family val="2"/>
          </rPr>
          <t xml:space="preserve">
Reduction in geographic distribution</t>
        </r>
      </text>
    </comment>
    <comment ref="Q15" authorId="0">
      <text>
        <r>
          <rPr>
            <b/>
            <sz val="10"/>
            <rFont val="Tahoma"/>
            <family val="2"/>
          </rPr>
          <t>B</t>
        </r>
        <r>
          <rPr>
            <sz val="10"/>
            <rFont val="Tahoma"/>
            <family val="2"/>
          </rPr>
          <t xml:space="preserve">
Restricted geographic distribution </t>
        </r>
      </text>
    </comment>
    <comment ref="Q16" authorId="0">
      <text>
        <r>
          <rPr>
            <b/>
            <sz val="10"/>
            <rFont val="Tahoma"/>
            <family val="2"/>
          </rPr>
          <t>B</t>
        </r>
        <r>
          <rPr>
            <sz val="10"/>
            <rFont val="Tahoma"/>
            <family val="2"/>
          </rPr>
          <t xml:space="preserve">
Restricted geographic distribution </t>
        </r>
      </text>
    </comment>
    <comment ref="Q19" authorId="0">
      <text>
        <r>
          <rPr>
            <b/>
            <sz val="10"/>
            <rFont val="Tahoma"/>
            <family val="2"/>
          </rPr>
          <t>B1</t>
        </r>
        <r>
          <rPr>
            <sz val="10"/>
            <rFont val="Tahoma"/>
            <family val="2"/>
          </rPr>
          <t xml:space="preserve">
Extent of occurrence (EOO)</t>
        </r>
      </text>
    </comment>
    <comment ref="Q22" authorId="0">
      <text>
        <r>
          <rPr>
            <b/>
            <sz val="10"/>
            <rFont val="Tahoma"/>
            <family val="2"/>
          </rPr>
          <t>B2</t>
        </r>
        <r>
          <rPr>
            <sz val="10"/>
            <rFont val="Tahoma"/>
            <family val="2"/>
          </rPr>
          <t xml:space="preserve">
Area of occupancy (AOO)</t>
        </r>
      </text>
    </comment>
    <comment ref="Q25" authorId="0">
      <text>
        <r>
          <rPr>
            <b/>
            <sz val="10"/>
            <rFont val="Tahoma"/>
            <family val="2"/>
          </rPr>
          <t>B3</t>
        </r>
        <r>
          <rPr>
            <sz val="10"/>
            <rFont val="Tahoma"/>
            <family val="2"/>
          </rPr>
          <t xml:space="preserve">
Number of locations</t>
        </r>
      </text>
    </comment>
    <comment ref="Q23" authorId="0">
      <text>
        <r>
          <rPr>
            <b/>
            <sz val="10"/>
            <rFont val="Tahoma"/>
            <family val="2"/>
          </rPr>
          <t>B2</t>
        </r>
        <r>
          <rPr>
            <sz val="10"/>
            <rFont val="Tahoma"/>
            <family val="2"/>
          </rPr>
          <t xml:space="preserve">
Area of occupancy (AOO)</t>
        </r>
      </text>
    </comment>
    <comment ref="Q24" authorId="0">
      <text>
        <r>
          <rPr>
            <b/>
            <sz val="10"/>
            <rFont val="Tahoma"/>
            <family val="2"/>
          </rPr>
          <t>B2</t>
        </r>
        <r>
          <rPr>
            <sz val="10"/>
            <rFont val="Tahoma"/>
            <family val="2"/>
          </rPr>
          <t xml:space="preserve">
Area of occupancy (AOO)</t>
        </r>
      </text>
    </comment>
    <comment ref="Q20" authorId="0">
      <text>
        <r>
          <rPr>
            <b/>
            <sz val="10"/>
            <rFont val="Tahoma"/>
            <family val="2"/>
          </rPr>
          <t>B1</t>
        </r>
        <r>
          <rPr>
            <sz val="10"/>
            <rFont val="Tahoma"/>
            <family val="2"/>
          </rPr>
          <t xml:space="preserve">
Extent of occurrence (EOO)</t>
        </r>
      </text>
    </comment>
    <comment ref="Q21" authorId="0">
      <text>
        <r>
          <rPr>
            <b/>
            <sz val="10"/>
            <rFont val="Tahoma"/>
            <family val="2"/>
          </rPr>
          <t>B1</t>
        </r>
        <r>
          <rPr>
            <sz val="10"/>
            <rFont val="Tahoma"/>
            <family val="2"/>
          </rPr>
          <t xml:space="preserve">
Extent of occurrence (EOO)</t>
        </r>
      </text>
    </comment>
    <comment ref="Q26" authorId="0">
      <text>
        <r>
          <rPr>
            <b/>
            <sz val="10"/>
            <rFont val="Tahoma"/>
            <family val="2"/>
          </rPr>
          <t>B3</t>
        </r>
        <r>
          <rPr>
            <sz val="10"/>
            <rFont val="Tahoma"/>
            <family val="2"/>
          </rPr>
          <t xml:space="preserve">
Number of locations</t>
        </r>
      </text>
    </comment>
    <comment ref="Q27" authorId="0">
      <text>
        <r>
          <rPr>
            <b/>
            <sz val="10"/>
            <rFont val="Tahoma"/>
            <family val="2"/>
          </rPr>
          <t>B3</t>
        </r>
        <r>
          <rPr>
            <sz val="10"/>
            <rFont val="Tahoma"/>
            <family val="2"/>
          </rPr>
          <t xml:space="preserve">
Number of locations</t>
        </r>
      </text>
    </comment>
    <comment ref="V19" authorId="0">
      <text>
        <r>
          <rPr>
            <b/>
            <sz val="10"/>
            <rFont val="Tahoma"/>
            <family val="2"/>
          </rPr>
          <t>C1</t>
        </r>
        <r>
          <rPr>
            <sz val="10"/>
            <rFont val="Tahoma"/>
            <family val="2"/>
          </rPr>
          <t xml:space="preserve">
Past change in an environmental variable</t>
        </r>
      </text>
    </comment>
    <comment ref="V22" authorId="0">
      <text>
        <r>
          <rPr>
            <b/>
            <sz val="10"/>
            <rFont val="Tahoma"/>
            <family val="2"/>
          </rPr>
          <t xml:space="preserve">C2
a) </t>
        </r>
        <r>
          <rPr>
            <sz val="10"/>
            <rFont val="Tahoma"/>
            <family val="2"/>
          </rPr>
          <t xml:space="preserve">Future, or </t>
        </r>
        <r>
          <rPr>
            <b/>
            <sz val="10"/>
            <rFont val="Tahoma"/>
            <family val="2"/>
          </rPr>
          <t xml:space="preserve">b) </t>
        </r>
        <r>
          <rPr>
            <sz val="10"/>
            <rFont val="Tahoma"/>
            <family val="2"/>
          </rPr>
          <t>past and future change in an environmental variable</t>
        </r>
      </text>
    </comment>
    <comment ref="V25" authorId="0">
      <text>
        <r>
          <rPr>
            <b/>
            <sz val="10"/>
            <rFont val="Tahoma"/>
            <family val="2"/>
          </rPr>
          <t>C3</t>
        </r>
        <r>
          <rPr>
            <sz val="10"/>
            <rFont val="Tahoma"/>
            <family val="2"/>
          </rPr>
          <t xml:space="preserve">
Long-term change in an environmental variable</t>
        </r>
      </text>
    </comment>
    <comment ref="V20" authorId="0">
      <text>
        <r>
          <rPr>
            <b/>
            <sz val="10"/>
            <rFont val="Tahoma"/>
            <family val="2"/>
          </rPr>
          <t>C1</t>
        </r>
        <r>
          <rPr>
            <sz val="10"/>
            <rFont val="Tahoma"/>
            <family val="2"/>
          </rPr>
          <t xml:space="preserve">
Past change in an environmental variable</t>
        </r>
      </text>
    </comment>
    <comment ref="V21" authorId="0">
      <text>
        <r>
          <rPr>
            <b/>
            <sz val="10"/>
            <rFont val="Tahoma"/>
            <family val="2"/>
          </rPr>
          <t>C1</t>
        </r>
        <r>
          <rPr>
            <sz val="10"/>
            <rFont val="Tahoma"/>
            <family val="2"/>
          </rPr>
          <t xml:space="preserve">
Past change in an environmental variable</t>
        </r>
      </text>
    </comment>
    <comment ref="V23" authorId="0">
      <text>
        <r>
          <rPr>
            <b/>
            <sz val="10"/>
            <rFont val="Tahoma"/>
            <family val="2"/>
          </rPr>
          <t xml:space="preserve">C2
a) </t>
        </r>
        <r>
          <rPr>
            <sz val="10"/>
            <rFont val="Tahoma"/>
            <family val="2"/>
          </rPr>
          <t xml:space="preserve">Future, or </t>
        </r>
        <r>
          <rPr>
            <b/>
            <sz val="10"/>
            <rFont val="Tahoma"/>
            <family val="2"/>
          </rPr>
          <t xml:space="preserve">b) </t>
        </r>
        <r>
          <rPr>
            <sz val="10"/>
            <rFont val="Tahoma"/>
            <family val="2"/>
          </rPr>
          <t>past and future change in an environmental variable</t>
        </r>
      </text>
    </comment>
    <comment ref="V24" authorId="0">
      <text>
        <r>
          <rPr>
            <b/>
            <sz val="10"/>
            <rFont val="Tahoma"/>
            <family val="2"/>
          </rPr>
          <t xml:space="preserve">C2
a) </t>
        </r>
        <r>
          <rPr>
            <sz val="10"/>
            <rFont val="Tahoma"/>
            <family val="2"/>
          </rPr>
          <t xml:space="preserve">Future, or </t>
        </r>
        <r>
          <rPr>
            <b/>
            <sz val="10"/>
            <rFont val="Tahoma"/>
            <family val="2"/>
          </rPr>
          <t xml:space="preserve">b) </t>
        </r>
        <r>
          <rPr>
            <sz val="10"/>
            <rFont val="Tahoma"/>
            <family val="2"/>
          </rPr>
          <t>past and future change in an environmental variable</t>
        </r>
      </text>
    </comment>
    <comment ref="V26" authorId="0">
      <text>
        <r>
          <rPr>
            <b/>
            <sz val="10"/>
            <rFont val="Tahoma"/>
            <family val="2"/>
          </rPr>
          <t>C3</t>
        </r>
        <r>
          <rPr>
            <sz val="10"/>
            <rFont val="Tahoma"/>
            <family val="2"/>
          </rPr>
          <t xml:space="preserve">
Long-term change in an environmental variable</t>
        </r>
      </text>
    </comment>
    <comment ref="V27" authorId="0">
      <text>
        <r>
          <rPr>
            <b/>
            <sz val="10"/>
            <rFont val="Tahoma"/>
            <family val="2"/>
          </rPr>
          <t>C3</t>
        </r>
        <r>
          <rPr>
            <sz val="10"/>
            <rFont val="Tahoma"/>
            <family val="2"/>
          </rPr>
          <t xml:space="preserve">
Long-term change in an environmental variable</t>
        </r>
      </text>
    </comment>
    <comment ref="Z15" authorId="0">
      <text>
        <r>
          <rPr>
            <b/>
            <sz val="10"/>
            <rFont val="Tahoma"/>
            <family val="2"/>
          </rPr>
          <t>D</t>
        </r>
        <r>
          <rPr>
            <sz val="10"/>
            <rFont val="Tahoma"/>
            <family val="2"/>
          </rPr>
          <t xml:space="preserve">
Disruption of biotic interactions that sustain the characteristic biota</t>
        </r>
      </text>
    </comment>
    <comment ref="Z16" authorId="0">
      <text>
        <r>
          <rPr>
            <b/>
            <sz val="10"/>
            <rFont val="Tahoma"/>
            <family val="2"/>
          </rPr>
          <t>D</t>
        </r>
        <r>
          <rPr>
            <sz val="10"/>
            <rFont val="Tahoma"/>
            <family val="2"/>
          </rPr>
          <t xml:space="preserve">
Disruption of biotic interactions that sustain the characteristic biota</t>
        </r>
      </text>
    </comment>
    <comment ref="Z19" authorId="0">
      <text>
        <r>
          <rPr>
            <b/>
            <sz val="10"/>
            <rFont val="Tahoma"/>
            <family val="2"/>
          </rPr>
          <t>D1</t>
        </r>
        <r>
          <rPr>
            <sz val="10"/>
            <rFont val="Tahoma"/>
            <family val="2"/>
          </rPr>
          <t xml:space="preserve">
Past detrimental change in biotic interactions </t>
        </r>
      </text>
    </comment>
    <comment ref="Z22" authorId="0">
      <text>
        <r>
          <rPr>
            <b/>
            <sz val="10"/>
            <rFont val="Tahoma"/>
            <family val="2"/>
          </rPr>
          <t xml:space="preserve">D2
a) </t>
        </r>
        <r>
          <rPr>
            <sz val="10"/>
            <rFont val="Tahoma"/>
            <family val="2"/>
          </rPr>
          <t xml:space="preserve">Future, or </t>
        </r>
        <r>
          <rPr>
            <b/>
            <sz val="10"/>
            <rFont val="Tahoma"/>
            <family val="2"/>
          </rPr>
          <t xml:space="preserve">b) </t>
        </r>
        <r>
          <rPr>
            <sz val="10"/>
            <rFont val="Tahoma"/>
            <family val="2"/>
          </rPr>
          <t>past and future detrimental change in biotic interactions</t>
        </r>
      </text>
    </comment>
    <comment ref="Z25" authorId="0">
      <text>
        <r>
          <rPr>
            <b/>
            <sz val="10"/>
            <rFont val="Tahoma"/>
            <family val="2"/>
          </rPr>
          <t>D3</t>
        </r>
        <r>
          <rPr>
            <sz val="10"/>
            <rFont val="Tahoma"/>
            <family val="2"/>
          </rPr>
          <t xml:space="preserve">
Long-term detrimental change in biotic interactions</t>
        </r>
      </text>
    </comment>
    <comment ref="V15" authorId="0">
      <text>
        <r>
          <rPr>
            <b/>
            <sz val="10"/>
            <rFont val="Tahoma"/>
            <family val="2"/>
          </rPr>
          <t>C</t>
        </r>
        <r>
          <rPr>
            <sz val="10"/>
            <rFont val="Tahoma"/>
            <family val="2"/>
          </rPr>
          <t xml:space="preserve">
Degradation in a component of the abiotic environment that reduces habitat quality for characteristic biota</t>
        </r>
      </text>
    </comment>
    <comment ref="V16" authorId="0">
      <text>
        <r>
          <rPr>
            <b/>
            <sz val="10"/>
            <rFont val="Tahoma"/>
            <family val="2"/>
          </rPr>
          <t>C</t>
        </r>
        <r>
          <rPr>
            <sz val="10"/>
            <rFont val="Tahoma"/>
            <family val="2"/>
          </rPr>
          <t xml:space="preserve">
Degradation in a component of the abiotic environment that reduces habitat quality for characteristic biota</t>
        </r>
      </text>
    </comment>
    <comment ref="Z20" authorId="0">
      <text>
        <r>
          <rPr>
            <b/>
            <sz val="10"/>
            <rFont val="Tahoma"/>
            <family val="2"/>
          </rPr>
          <t>D1</t>
        </r>
        <r>
          <rPr>
            <sz val="10"/>
            <rFont val="Tahoma"/>
            <family val="2"/>
          </rPr>
          <t xml:space="preserve">
Past detrimental change in biotic interactions </t>
        </r>
      </text>
    </comment>
    <comment ref="Z21" authorId="0">
      <text>
        <r>
          <rPr>
            <b/>
            <sz val="10"/>
            <rFont val="Tahoma"/>
            <family val="2"/>
          </rPr>
          <t>D1</t>
        </r>
        <r>
          <rPr>
            <sz val="10"/>
            <rFont val="Tahoma"/>
            <family val="2"/>
          </rPr>
          <t xml:space="preserve">
Past detrimental change in biotic interactions </t>
        </r>
      </text>
    </comment>
    <comment ref="Z23" authorId="0">
      <text>
        <r>
          <rPr>
            <b/>
            <sz val="10"/>
            <rFont val="Tahoma"/>
            <family val="2"/>
          </rPr>
          <t xml:space="preserve">D2
a) </t>
        </r>
        <r>
          <rPr>
            <sz val="10"/>
            <rFont val="Tahoma"/>
            <family val="2"/>
          </rPr>
          <t xml:space="preserve">Future, or </t>
        </r>
        <r>
          <rPr>
            <b/>
            <sz val="10"/>
            <rFont val="Tahoma"/>
            <family val="2"/>
          </rPr>
          <t xml:space="preserve">b) </t>
        </r>
        <r>
          <rPr>
            <sz val="10"/>
            <rFont val="Tahoma"/>
            <family val="2"/>
          </rPr>
          <t>past and future detrimental change in biotic interactions</t>
        </r>
      </text>
    </comment>
    <comment ref="Z24" authorId="0">
      <text>
        <r>
          <rPr>
            <b/>
            <sz val="10"/>
            <rFont val="Tahoma"/>
            <family val="2"/>
          </rPr>
          <t xml:space="preserve">D2
a) </t>
        </r>
        <r>
          <rPr>
            <sz val="10"/>
            <rFont val="Tahoma"/>
            <family val="2"/>
          </rPr>
          <t xml:space="preserve">Future, or </t>
        </r>
        <r>
          <rPr>
            <b/>
            <sz val="10"/>
            <rFont val="Tahoma"/>
            <family val="2"/>
          </rPr>
          <t xml:space="preserve">b) </t>
        </r>
        <r>
          <rPr>
            <sz val="10"/>
            <rFont val="Tahoma"/>
            <family val="2"/>
          </rPr>
          <t>past and future detrimental change in biotic interactions</t>
        </r>
      </text>
    </comment>
    <comment ref="Z26" authorId="0">
      <text>
        <r>
          <rPr>
            <b/>
            <sz val="10"/>
            <rFont val="Tahoma"/>
            <family val="2"/>
          </rPr>
          <t>D3</t>
        </r>
        <r>
          <rPr>
            <sz val="10"/>
            <rFont val="Tahoma"/>
            <family val="2"/>
          </rPr>
          <t xml:space="preserve">
Long-term detrimental change in biotic interactions</t>
        </r>
      </text>
    </comment>
    <comment ref="Z27" authorId="0">
      <text>
        <r>
          <rPr>
            <b/>
            <sz val="10"/>
            <rFont val="Tahoma"/>
            <family val="2"/>
          </rPr>
          <t>D3</t>
        </r>
        <r>
          <rPr>
            <sz val="10"/>
            <rFont val="Tahoma"/>
            <family val="2"/>
          </rPr>
          <t xml:space="preserve">
Long-term detrimental change in biotic interactions</t>
        </r>
      </text>
    </comment>
    <comment ref="AA15" authorId="0">
      <text>
        <r>
          <rPr>
            <b/>
            <sz val="10"/>
            <rFont val="Tahoma"/>
            <family val="2"/>
          </rPr>
          <t>E</t>
        </r>
        <r>
          <rPr>
            <sz val="10"/>
            <rFont val="Tahoma"/>
            <family val="2"/>
          </rPr>
          <t xml:space="preserve">
Quantitative analysis of probability of extinction</t>
        </r>
      </text>
    </comment>
    <comment ref="AA16" authorId="0">
      <text>
        <r>
          <rPr>
            <b/>
            <sz val="10"/>
            <rFont val="Tahoma"/>
            <family val="2"/>
          </rPr>
          <t>E</t>
        </r>
        <r>
          <rPr>
            <sz val="10"/>
            <rFont val="Tahoma"/>
            <family val="2"/>
          </rPr>
          <t xml:space="preserve">
Quantitative analysis of probability of extinction</t>
        </r>
      </text>
    </comment>
  </commentList>
</comments>
</file>

<file path=xl/sharedStrings.xml><?xml version="1.0" encoding="utf-8"?>
<sst xmlns="http://schemas.openxmlformats.org/spreadsheetml/2006/main" count="874" uniqueCount="382">
  <si>
    <t>Reduction in geographic distribution (%) over ANY 50 year period - upper (P)</t>
  </si>
  <si>
    <t>Reduction in geographic distribution (%) since 1750 - lower (O)</t>
  </si>
  <si>
    <t>Reduction in geographic distribution (%) since 1750 - best (B)</t>
  </si>
  <si>
    <t>Reduction in geographic distribution (%) since 1750 - upper (P)</t>
  </si>
  <si>
    <t>EOO or similar - best (B)</t>
  </si>
  <si>
    <t>EOO or similar - lower (P)</t>
  </si>
  <si>
    <t>EOO or similar - upper (O)</t>
  </si>
  <si>
    <t>Source data</t>
  </si>
  <si>
    <t>AOO or similar - lower (P)</t>
  </si>
  <si>
    <t>AOO or similar - best (B)</t>
  </si>
  <si>
    <t>AOO or similar - upper (O)</t>
  </si>
  <si>
    <t>Non-trivial continuing decline (degree of belief) - lower (O)</t>
  </si>
  <si>
    <t>Non-trivial continuing decline (degree of belief) - best (B)</t>
  </si>
  <si>
    <t>Non-trivial continuing decline (degree of belief) - upper (P)</t>
  </si>
  <si>
    <t>B1a/2a</t>
  </si>
  <si>
    <t>Measure of continuing decline</t>
  </si>
  <si>
    <t>B1b/2b</t>
  </si>
  <si>
    <t>B1c/2c</t>
  </si>
  <si>
    <t>B3</t>
  </si>
  <si>
    <t>Supporting evidence including most serious plausible threat</t>
  </si>
  <si>
    <t>Threatening processes likely to cause continuing decline (degree of belief) - lower (O)</t>
  </si>
  <si>
    <t>Threatening processes likely to cause continuing decline (degree of belief) - best (B)</t>
  </si>
  <si>
    <t>Threatening processes likely to cause continuing decline (degree of belief) - upper (P)</t>
  </si>
  <si>
    <t>B3 (part)</t>
  </si>
  <si>
    <t>Relative severity of change (%) - lower (O)</t>
  </si>
  <si>
    <t>Relative severity of change (%) - best (B)</t>
  </si>
  <si>
    <t>Relative severity of change (%) - upper (P)</t>
  </si>
  <si>
    <t>Environmental variable &amp; Supporting evidence</t>
  </si>
  <si>
    <t>C2a</t>
  </si>
  <si>
    <t>C2b</t>
  </si>
  <si>
    <t>Beginning and end of reduction</t>
  </si>
  <si>
    <t>C3</t>
  </si>
  <si>
    <t>Environmental degradation - Extent affected (%) over NEXT 50 years - lower (O)</t>
  </si>
  <si>
    <t>Environmental degradation - Extent affected (%) over NEXT 50 years - best (B)</t>
  </si>
  <si>
    <t>Environmental degradation - Extent affected (%) over NEXT 50 years - upper (P)</t>
  </si>
  <si>
    <t>Environmental degradation - Extent affected (%) over ANY 50 years - lower (O)</t>
  </si>
  <si>
    <t>Environmental degradation - Extent affected (%) over ANY 50 years - best (B)</t>
  </si>
  <si>
    <t>Environmental degradation - Extent affected (%) over ANY 50 years - upper (P)</t>
  </si>
  <si>
    <t>Environmental degradation - Extent affected (%) since 1750 - lower (O)</t>
  </si>
  <si>
    <t>Environmental degradation - Extent affected (%) since 1750 - best (B)</t>
  </si>
  <si>
    <t>Environmental degradation - Extent affected (%) since 1750 - upper (P)</t>
  </si>
  <si>
    <t>D1</t>
  </si>
  <si>
    <t>D2a</t>
  </si>
  <si>
    <t>D2b</t>
  </si>
  <si>
    <t>D3</t>
  </si>
  <si>
    <t>Disruption of biotic interactions - Extent affected (%) over LAST 50 years - lower (O)</t>
  </si>
  <si>
    <t>Disruption of biotic interactions - Extent affected (%) over LAST 50 years - best (B)</t>
  </si>
  <si>
    <t>Disruption of biotic interactions - Extent affected (%) over LAST 50 years - upper (P)</t>
  </si>
  <si>
    <t>Disruption of biotic interactions - Extent affected (%) over NEXT 50 years - lower (O)</t>
  </si>
  <si>
    <t>Disruption of biotic interactions - Extent affected (%) over NEXT 50 years - best (B)</t>
  </si>
  <si>
    <t>Disruption of biotic interactions - Extent affected (%) over NEXT 50 years - upper (P)</t>
  </si>
  <si>
    <t>Disruption of biotic interactions - Extent affected (%) over ANY 50 years - lower (O)</t>
  </si>
  <si>
    <t>Disruption of biotic interactions - Extent affected (%) over ANY 50 years - best (B)</t>
  </si>
  <si>
    <t>Disruption of biotic interactions - Extent affected (%) over ANY 50 years - upper (P)</t>
  </si>
  <si>
    <t>Disruption of biotic interactions - Extent affected (%) since 1750 - lower (O)</t>
  </si>
  <si>
    <t>Disruption of biotic interactions - Extent affected (%) since 1750 - best (B)</t>
  </si>
  <si>
    <t>Disruption of biotic interactions - Extent affected (%) since 1750 - upper (P)</t>
  </si>
  <si>
    <t>E</t>
  </si>
  <si>
    <t>Probability of ecosystem collapse within 50 years - lower (O)</t>
  </si>
  <si>
    <t>Probability of ecosystem collapse within 50 years - best (B)</t>
  </si>
  <si>
    <t>Probability of ecosystem collapse within 50 years - upper (P)</t>
  </si>
  <si>
    <t>Probability of ecosystem collapse within 100 years - lower (O)</t>
  </si>
  <si>
    <t>Probability of ecosystem collapse within 100 years - best (B)</t>
  </si>
  <si>
    <t>Probability of ecosystem collapse within 100 years - upper (P)</t>
  </si>
  <si>
    <t>Supporting evidence and basis of estimates</t>
  </si>
  <si>
    <t>Reduction in distribution LAST 50 years</t>
  </si>
  <si>
    <t>Reduction in distribution NEXT 50 years</t>
  </si>
  <si>
    <t>Reduction in distribution ANY 50 years</t>
  </si>
  <si>
    <t>Reduction in distribution since 1750</t>
  </si>
  <si>
    <t>Continuing declines</t>
  </si>
  <si>
    <t>Threatening process will cause continuing declines</t>
  </si>
  <si>
    <t>No locations in relation to EOO</t>
  </si>
  <si>
    <t>B1c</t>
  </si>
  <si>
    <t>B2c</t>
  </si>
  <si>
    <t>No. 10x10 grid cells (AOO)</t>
  </si>
  <si>
    <t>No locations in relation to no. grid cells</t>
  </si>
  <si>
    <t>B overall</t>
  </si>
  <si>
    <t>C overall</t>
  </si>
  <si>
    <t>D overall</t>
  </si>
  <si>
    <t>Environmental degradation PAST 50 years</t>
  </si>
  <si>
    <t>Environmental degradation NEXT 50 years</t>
  </si>
  <si>
    <t>Environmental degradation ANY 50 years</t>
  </si>
  <si>
    <t>Environmental degradation since 1750</t>
  </si>
  <si>
    <t>Disruption of biotic interactions PAST 50 years</t>
  </si>
  <si>
    <t>Disruption of biotic interactions NEXT 50 years</t>
  </si>
  <si>
    <t>Disruption of biotic interactions ANY 50 years</t>
  </si>
  <si>
    <t>Disruption of biotic interactions since 1750</t>
  </si>
  <si>
    <t>Probability of ecosystem collapse</t>
  </si>
  <si>
    <t>A overall</t>
  </si>
  <si>
    <t>Criterion E</t>
  </si>
  <si>
    <t>PESSIMISTIC</t>
  </si>
  <si>
    <t>BEST</t>
  </si>
  <si>
    <t>OPTIMISTIC</t>
  </si>
  <si>
    <t>Quantitative analysis</t>
  </si>
  <si>
    <t>E)   Probability (%) of ecosystem collapse within 50 years:</t>
  </si>
  <si>
    <t>E)   Probability (%) of ecosystem collapse within 100 years:</t>
  </si>
  <si>
    <t>Degradation in abiotic environment that reduces habitat quality for characteristic biota of the ecosystem</t>
  </si>
  <si>
    <r>
      <t xml:space="preserve">C2a)  Extent affected (%) within the </t>
    </r>
    <r>
      <rPr>
        <u val="single"/>
        <sz val="8"/>
        <color indexed="8"/>
        <rFont val="Arial"/>
        <family val="2"/>
      </rPr>
      <t>next 50 years:</t>
    </r>
  </si>
  <si>
    <r>
      <t xml:space="preserve">C1)  Extent affected (%) over the </t>
    </r>
    <r>
      <rPr>
        <u val="single"/>
        <sz val="8"/>
        <color indexed="8"/>
        <rFont val="Arial"/>
        <family val="2"/>
      </rPr>
      <t>last 50 years:</t>
    </r>
  </si>
  <si>
    <r>
      <t xml:space="preserve">C3)  Extent affected (%) </t>
    </r>
    <r>
      <rPr>
        <u val="single"/>
        <sz val="8"/>
        <color indexed="8"/>
        <rFont val="Arial"/>
        <family val="2"/>
      </rPr>
      <t>since 1750:</t>
    </r>
  </si>
  <si>
    <r>
      <t xml:space="preserve">C2b)  Extent affected (%) over </t>
    </r>
    <r>
      <rPr>
        <u val="single"/>
        <sz val="8"/>
        <color indexed="8"/>
        <rFont val="Arial"/>
        <family val="2"/>
      </rPr>
      <t>any 50-year period incl. past/future:</t>
    </r>
  </si>
  <si>
    <t>Beginning &amp; end of period of change:</t>
  </si>
  <si>
    <t>Disruption of biotic interactions that sustain the characteristic biota of the ecosystem</t>
  </si>
  <si>
    <r>
      <t xml:space="preserve">D1)  Extent affected (%) over the </t>
    </r>
    <r>
      <rPr>
        <u val="single"/>
        <sz val="8"/>
        <color indexed="8"/>
        <rFont val="Arial"/>
        <family val="2"/>
      </rPr>
      <t>last 50 years:</t>
    </r>
  </si>
  <si>
    <r>
      <t xml:space="preserve">D2a)  Extent affected (%) within the </t>
    </r>
    <r>
      <rPr>
        <u val="single"/>
        <sz val="8"/>
        <color indexed="8"/>
        <rFont val="Arial"/>
        <family val="2"/>
      </rPr>
      <t>next 50 years:</t>
    </r>
  </si>
  <si>
    <r>
      <t xml:space="preserve">D2b)  Extent affected (%) over </t>
    </r>
    <r>
      <rPr>
        <u val="single"/>
        <sz val="8"/>
        <color indexed="8"/>
        <rFont val="Arial"/>
        <family val="2"/>
      </rPr>
      <t>any 50-year period incl. past/future:</t>
    </r>
  </si>
  <si>
    <r>
      <t xml:space="preserve">D3)  Extent affected (%) </t>
    </r>
    <r>
      <rPr>
        <u val="single"/>
        <sz val="8"/>
        <color indexed="8"/>
        <rFont val="Arial"/>
        <family val="2"/>
      </rPr>
      <t>since 1750:</t>
    </r>
  </si>
  <si>
    <t>In relation to changes in an appropriate environmental variable:</t>
  </si>
  <si>
    <t>In relation to an appropriate measure of disruption:</t>
  </si>
  <si>
    <t xml:space="preserve">B3)  The ecosystem is prone to the effects of human activities or stochastic events, and capable of collapse or becoming </t>
  </si>
  <si>
    <t xml:space="preserve">        Critically Endangered within a very short time period:</t>
  </si>
  <si>
    <t>C1)  Relative severity of change (%):</t>
  </si>
  <si>
    <t>C2a)  Relative severity of change(%):</t>
  </si>
  <si>
    <t>C2b)  Relative severity of change (%):</t>
  </si>
  <si>
    <t>C3)  Relative severity of change (%):</t>
  </si>
  <si>
    <t>Threatening processes</t>
  </si>
  <si>
    <t>Reduction in geographic distribution (A1, A2b, A3, C1, C2b, C3, D1, D2b, D3,)</t>
  </si>
  <si>
    <t>Reduction in geographic distribution (A2a, C2a, D2a)</t>
  </si>
  <si>
    <t>No. locations - lower (P)</t>
  </si>
  <si>
    <t>No. locations - upper (O)</t>
  </si>
  <si>
    <t>EEO</t>
  </si>
  <si>
    <t>Restricted number of locations</t>
  </si>
  <si>
    <t xml:space="preserve"> </t>
  </si>
  <si>
    <t xml:space="preserve">   </t>
  </si>
  <si>
    <t xml:space="preserve">Assessment Date:   </t>
  </si>
  <si>
    <t xml:space="preserve">Name of Assessor:  </t>
  </si>
  <si>
    <t xml:space="preserve">Overall Status: </t>
  </si>
  <si>
    <t xml:space="preserve">  P = Pessimistic / Most Precautionary</t>
  </si>
  <si>
    <t xml:space="preserve">  B = Best Estimate</t>
  </si>
  <si>
    <t xml:space="preserve">  O = Optimistic / Least Precautionary</t>
  </si>
  <si>
    <t>Enquiries:</t>
  </si>
  <si>
    <t xml:space="preserve">   ph. +61-2-9585-6498</t>
  </si>
  <si>
    <t>P:</t>
  </si>
  <si>
    <t>B:</t>
  </si>
  <si>
    <t>O:</t>
  </si>
  <si>
    <t>Spreadsheet Design and Development:</t>
  </si>
  <si>
    <t>|</t>
  </si>
  <si>
    <t xml:space="preserve">   |</t>
  </si>
  <si>
    <t xml:space="preserve">   Berin Mackenzie</t>
  </si>
  <si>
    <t xml:space="preserve">   email: berin.mackenzie@environment.nsw.gov.au</t>
  </si>
  <si>
    <t>:B</t>
  </si>
  <si>
    <t>:O</t>
  </si>
  <si>
    <t xml:space="preserve">    Pessimistic:</t>
  </si>
  <si>
    <t>Estimates Data Table</t>
  </si>
  <si>
    <t>National</t>
  </si>
  <si>
    <t>Statewide</t>
  </si>
  <si>
    <t>Regional</t>
  </si>
  <si>
    <t xml:space="preserve">(enter negative amount if an increase)   </t>
  </si>
  <si>
    <t>Lower Bound (O)</t>
  </si>
  <si>
    <t>Best Estimate (B)</t>
  </si>
  <si>
    <t>Upper Bound (P)</t>
  </si>
  <si>
    <t>Supporting evidence and basis of estimates above:</t>
  </si>
  <si>
    <t>Lower Bound (P)</t>
  </si>
  <si>
    <t>Upper Bound (O)</t>
  </si>
  <si>
    <t>Supporting evidence:</t>
  </si>
  <si>
    <t>observed</t>
  </si>
  <si>
    <t>estimated</t>
  </si>
  <si>
    <t>inferred</t>
  </si>
  <si>
    <t>projected</t>
  </si>
  <si>
    <t>Range of assessment</t>
  </si>
  <si>
    <t>Sources of information used:</t>
  </si>
  <si>
    <t>Ecosystem I.D. Code:</t>
  </si>
  <si>
    <t>Assessment Details</t>
  </si>
  <si>
    <t>Name of assessor:</t>
  </si>
  <si>
    <t>Date of Assessment (dd/mm/yy):</t>
  </si>
  <si>
    <t>Range of assessment:</t>
  </si>
  <si>
    <t xml:space="preserve">Name of ecosystem: </t>
  </si>
  <si>
    <t>List of states or territories in which ecosystem is - extant:</t>
  </si>
  <si>
    <t xml:space="preserve">                                                                                - extinct:</t>
  </si>
  <si>
    <t>Enter state or region of assessment if not national:</t>
  </si>
  <si>
    <t>Enter a degree of belief from 0 (full disbelief) to 1 (full belief):</t>
  </si>
  <si>
    <t>Country/countries where ecosystem occurs:</t>
  </si>
  <si>
    <t>Beginning &amp; end of reduction period:</t>
  </si>
  <si>
    <t>Summary of Previous Assessments stored in Database:</t>
  </si>
  <si>
    <r>
      <t xml:space="preserve">   *</t>
    </r>
    <r>
      <rPr>
        <b/>
        <sz val="8"/>
        <color indexed="10"/>
        <rFont val="Arial"/>
        <family val="2"/>
      </rPr>
      <t xml:space="preserve"> </t>
    </r>
    <r>
      <rPr>
        <b/>
        <sz val="8"/>
        <color indexed="24"/>
        <rFont val="Arial"/>
        <family val="2"/>
      </rPr>
      <t>Enter line number of assessment to be retrieved:</t>
    </r>
  </si>
  <si>
    <t xml:space="preserve">Number of assessments stored in database:     </t>
  </si>
  <si>
    <t>Line</t>
  </si>
  <si>
    <t>Overall</t>
  </si>
  <si>
    <t>No.</t>
  </si>
  <si>
    <t>P</t>
  </si>
  <si>
    <t>B</t>
  </si>
  <si>
    <t>O</t>
  </si>
  <si>
    <t>Assessor</t>
  </si>
  <si>
    <t>Date</t>
  </si>
  <si>
    <t>Criterion A</t>
  </si>
  <si>
    <t>Criterion B</t>
  </si>
  <si>
    <t>Criterion C</t>
  </si>
  <si>
    <t>Criterion D</t>
  </si>
  <si>
    <t>WARNING!!! Altering the contents of any cell in this table may irreversibly corrupt this spreadsheet!</t>
  </si>
  <si>
    <t>Current Assessment</t>
  </si>
  <si>
    <t>A1</t>
  </si>
  <si>
    <t>A3</t>
  </si>
  <si>
    <t>C1</t>
  </si>
  <si>
    <t>Range of Assessment</t>
  </si>
  <si>
    <t>Name of Assessor</t>
  </si>
  <si>
    <t>Date of Assessment</t>
  </si>
  <si>
    <r>
      <t xml:space="preserve">CALCULATING STATUS                    </t>
    </r>
    <r>
      <rPr>
        <b/>
        <sz val="12"/>
        <color indexed="36"/>
        <rFont val="Arial"/>
        <family val="2"/>
      </rPr>
      <t>---------&gt;</t>
    </r>
  </si>
  <si>
    <t>Ecosystem I.D. Code</t>
  </si>
  <si>
    <t>Name of Ecosystem</t>
  </si>
  <si>
    <t>Sources of information used</t>
  </si>
  <si>
    <t>Country/ countries where ecosystem occurs</t>
  </si>
  <si>
    <t>States or territories in which ecosystem is extant</t>
  </si>
  <si>
    <t>States or territories in which ecosystem is extinct</t>
  </si>
  <si>
    <t>Region or State throughout which ecosystem was assessed if not Nationally</t>
  </si>
  <si>
    <t>B1</t>
  </si>
  <si>
    <t>B2</t>
  </si>
  <si>
    <t>No. locations - best (B)</t>
  </si>
  <si>
    <r>
      <t>2:</t>
    </r>
    <r>
      <rPr>
        <sz val="8"/>
        <color indexed="24"/>
        <rFont val="Arial"/>
        <family val="2"/>
      </rPr>
      <t xml:space="preserve">  </t>
    </r>
    <r>
      <rPr>
        <i/>
        <sz val="8"/>
        <color indexed="8"/>
        <rFont val="Arial"/>
        <family val="2"/>
      </rPr>
      <t>P:</t>
    </r>
  </si>
  <si>
    <r>
      <t>3:</t>
    </r>
    <r>
      <rPr>
        <sz val="8"/>
        <color indexed="24"/>
        <rFont val="Arial"/>
        <family val="2"/>
      </rPr>
      <t xml:space="preserve">  </t>
    </r>
    <r>
      <rPr>
        <i/>
        <sz val="8"/>
        <color indexed="8"/>
        <rFont val="Arial"/>
        <family val="2"/>
      </rPr>
      <t>P:</t>
    </r>
  </si>
  <si>
    <t>Ecosystem</t>
  </si>
  <si>
    <t xml:space="preserve">Range of Assessment:  </t>
  </si>
  <si>
    <t>Summary display:</t>
  </si>
  <si>
    <r>
      <t xml:space="preserve">Calculation of Ver 3.1 IUCN (2000) </t>
    </r>
    <r>
      <rPr>
        <b/>
        <u val="single"/>
        <sz val="9"/>
        <color indexed="33"/>
        <rFont val="Arial"/>
        <family val="2"/>
      </rPr>
      <t>PESSIMISTIC</t>
    </r>
    <r>
      <rPr>
        <b/>
        <u val="single"/>
        <sz val="9"/>
        <color indexed="12"/>
        <rFont val="Arial"/>
        <family val="2"/>
      </rPr>
      <t xml:space="preserve"> Summary:</t>
    </r>
  </si>
  <si>
    <t>Rule</t>
  </si>
  <si>
    <t>Criteria</t>
  </si>
  <si>
    <t>Data</t>
  </si>
  <si>
    <t>Theshold</t>
  </si>
  <si>
    <r>
      <t xml:space="preserve">Calculation of Ver 3.1 IUCN (2000) </t>
    </r>
    <r>
      <rPr>
        <b/>
        <u val="single"/>
        <sz val="9"/>
        <color indexed="33"/>
        <rFont val="Arial"/>
        <family val="2"/>
      </rPr>
      <t>OPTIMISTIC</t>
    </r>
    <r>
      <rPr>
        <b/>
        <u val="single"/>
        <sz val="9"/>
        <color indexed="12"/>
        <rFont val="Arial"/>
        <family val="2"/>
      </rPr>
      <t xml:space="preserve"> Summary:</t>
    </r>
  </si>
  <si>
    <t>Instructions for using this spreadsheet</t>
  </si>
  <si>
    <t>Getting Started:</t>
  </si>
  <si>
    <t xml:space="preserve">make sure the 'Ready to enter new data!' message is displayed  at the top of the table. If </t>
  </si>
  <si>
    <t xml:space="preserve">not, you will first need to select the 'Clear Data Table' button located above the table. </t>
  </si>
  <si>
    <t>Estimates Table:</t>
  </si>
  <si>
    <t>appropriate cells before an assessment can be made. You can move between questions</t>
  </si>
  <si>
    <t xml:space="preserve">using the arrow keys or the mouse. Most questions require a numerical answer that is </t>
  </si>
  <si>
    <t>Unanswered questions:</t>
  </si>
  <si>
    <t xml:space="preserve">Leaving any questions unanswered (ie. leaving cells blank) will prevent an </t>
  </si>
  <si>
    <t xml:space="preserve">assessment from being made. If you don't know the answer to a question, then </t>
  </si>
  <si>
    <t xml:space="preserve">estimate and an upper and lower 90% confidence bound, an unknown answer is </t>
  </si>
  <si>
    <r>
      <t xml:space="preserve">cells blank. Values for the best estimate </t>
    </r>
    <r>
      <rPr>
        <u val="single"/>
        <sz val="10"/>
        <color indexed="48"/>
        <rFont val="Arial"/>
        <family val="2"/>
      </rPr>
      <t>as well as</t>
    </r>
    <r>
      <rPr>
        <sz val="10"/>
        <color indexed="48"/>
        <rFont val="Arial"/>
        <family val="2"/>
      </rPr>
      <t xml:space="preserve"> the upper and lower bounds for each </t>
    </r>
  </si>
  <si>
    <r>
      <t xml:space="preserve">parameter must be entered </t>
    </r>
    <r>
      <rPr>
        <u val="single"/>
        <sz val="10"/>
        <color indexed="48"/>
        <rFont val="Arial"/>
        <family val="2"/>
      </rPr>
      <t>unless each of these three values are unknown</t>
    </r>
    <r>
      <rPr>
        <sz val="10"/>
        <color indexed="48"/>
        <rFont val="Arial"/>
        <family val="2"/>
      </rPr>
      <t>.</t>
    </r>
  </si>
  <si>
    <t>Results of the Assessment:</t>
  </si>
  <si>
    <t>Three different types of assessment are performed:</t>
  </si>
  <si>
    <t xml:space="preserve">   i)  a 'Pessimistic' or 'Precautionary' assessment;</t>
  </si>
  <si>
    <t xml:space="preserve">   ii) an assessment based on the 'Best Estimates'; and</t>
  </si>
  <si>
    <t xml:space="preserve">   iii) an 'Optimistic'  or 'Least Precautionary' assessment.</t>
  </si>
  <si>
    <t>Printing</t>
  </si>
  <si>
    <t>Saving Data and Results of Assessments:</t>
  </si>
  <si>
    <t xml:space="preserve">To store the results of an assessment, select the 'Store Assessment' button located </t>
  </si>
  <si>
    <t>Data Retrieval</t>
  </si>
  <si>
    <t>Stored assessments may be retrieved by selecting the 'Retrieve Assessment' button</t>
  </si>
  <si>
    <t xml:space="preserve">line number of the assessment as shown in the summary table must be entered in the </t>
  </si>
  <si>
    <t xml:space="preserve">box indicated. If the line number entered does not correspond to an assessment in </t>
  </si>
  <si>
    <t>the summary table, the user will be prompted to re-enter the line number.</t>
  </si>
  <si>
    <t>To obtain further information</t>
  </si>
  <si>
    <t>and indicate the overall status of the taxon as determined by the draft ecosystem criteria:</t>
  </si>
  <si>
    <t xml:space="preserve">entered using the keyboard or via a drop-down menu in the cell. Italicised questions only </t>
  </si>
  <si>
    <t>need to be answered if marked by an asterisk (*).</t>
  </si>
  <si>
    <t>table is cleared or the data will be lost. Then, select 'Save' or 'Save As' from the 'File' menu</t>
  </si>
  <si>
    <t xml:space="preserve">to save the data and the results of the assessment. An assessment can't be stored if the </t>
  </si>
  <si>
    <t xml:space="preserve">maximum of 2000 assessments. A full list of stored assessments including assessment </t>
  </si>
  <si>
    <t xml:space="preserve">results, name of the assessor and date of assessment can be viewed by selecting the </t>
  </si>
  <si>
    <t>'Summary' worksheet.</t>
  </si>
  <si>
    <t xml:space="preserve">into the Estimates Data Table on the 'Main' worksheet. When beginning a new assessment, </t>
  </si>
  <si>
    <t xml:space="preserve">All questions in the Estimates Data Table must be answered by entering data into the </t>
  </si>
  <si>
    <t>The results of the assessment are shown to the right of the Estimates Data Table</t>
  </si>
  <si>
    <t xml:space="preserve">Options are given at the base of the Assessment Results Table on how the summary </t>
  </si>
  <si>
    <t xml:space="preserve">information is to be displayed, including the data entered and the thresholds necessary to </t>
  </si>
  <si>
    <t xml:space="preserve">qualify for any given rule. By selecting a 'Brief Summary' button, only those rules and </t>
  </si>
  <si>
    <t xml:space="preserve">subrules that equalled the overall status will be displayed. The 'Full Summary' option displays </t>
  </si>
  <si>
    <r>
      <t xml:space="preserve">summary information for all rules regardless of their status. </t>
    </r>
    <r>
      <rPr>
        <u val="single"/>
        <sz val="10"/>
        <color indexed="48"/>
        <rFont val="Arial"/>
        <family val="2"/>
      </rPr>
      <t xml:space="preserve">Once an option (either Brief </t>
    </r>
  </si>
  <si>
    <t>Summary' or ' Full Summary') has been selected, subsequent changes to the data table</t>
  </si>
  <si>
    <t>button is once again selected.</t>
  </si>
  <si>
    <t>will not be reflected in the summary display unless the 'Brief Summary' or 'Full Summary'</t>
  </si>
  <si>
    <t xml:space="preserve">Hardcopies of the Estimates Data Table and Assessment Results Table may be obtained </t>
  </si>
  <si>
    <t xml:space="preserve">by selecting the individual buttons located in the top right hand corner of each table. </t>
  </si>
  <si>
    <t>table is incomplete or empty.</t>
  </si>
  <si>
    <t>Set' button located at the top of the data table. These options cannot be selected if the data</t>
  </si>
  <si>
    <t>above the Estimates Data Table. This must be done for each assessment before the</t>
  </si>
  <si>
    <t xml:space="preserve">Estimates Data Table is incomplete or empty and storage space is limited to a </t>
  </si>
  <si>
    <t xml:space="preserve">located on the 'Summary' worksheet. First, the Estimates Data Table must be empty and the </t>
  </si>
  <si>
    <r>
      <t xml:space="preserve">Before beginning, users should first ensure they are familiar with the </t>
    </r>
    <r>
      <rPr>
        <b/>
        <u val="single"/>
        <sz val="10"/>
        <color indexed="14"/>
        <rFont val="Arial"/>
        <family val="2"/>
      </rPr>
      <t>IUCN</t>
    </r>
  </si>
  <si>
    <t>For details of this protocol, please refer to:</t>
  </si>
  <si>
    <t xml:space="preserve">To assess the conservation status of an ecosystem using this scheme, data must be entered </t>
  </si>
  <si>
    <r>
      <t>definitions</t>
    </r>
    <r>
      <rPr>
        <b/>
        <sz val="10"/>
        <color indexed="14"/>
        <rFont val="Arial"/>
        <family val="2"/>
      </rPr>
      <t xml:space="preserve"> of terms used in the Estimates Data Table</t>
    </r>
  </si>
  <si>
    <t>Reduction in geographic distribution</t>
  </si>
  <si>
    <r>
      <t xml:space="preserve">A1)  Reduction (%) over the </t>
    </r>
    <r>
      <rPr>
        <u val="single"/>
        <sz val="8"/>
        <color indexed="8"/>
        <rFont val="Arial"/>
        <family val="2"/>
      </rPr>
      <t>last 50 years:</t>
    </r>
  </si>
  <si>
    <r>
      <t xml:space="preserve">A2a)  Reduction (%) within the </t>
    </r>
    <r>
      <rPr>
        <u val="single"/>
        <sz val="8"/>
        <color indexed="8"/>
        <rFont val="Arial"/>
        <family val="2"/>
      </rPr>
      <t>next 50 years:</t>
    </r>
  </si>
  <si>
    <r>
      <t xml:space="preserve">A2b)  Reduction (%) over </t>
    </r>
    <r>
      <rPr>
        <u val="single"/>
        <sz val="8"/>
        <color indexed="8"/>
        <rFont val="Arial"/>
        <family val="2"/>
      </rPr>
      <t>any 50-year period incl. both past/future:</t>
    </r>
  </si>
  <si>
    <r>
      <t xml:space="preserve">A3)  Reduction (%) </t>
    </r>
    <r>
      <rPr>
        <u val="single"/>
        <sz val="8"/>
        <color indexed="8"/>
        <rFont val="Arial"/>
        <family val="2"/>
      </rPr>
      <t>since 1750:</t>
    </r>
  </si>
  <si>
    <t>Current geographic distribution</t>
  </si>
  <si>
    <r>
      <t xml:space="preserve">B1c/2c)  Number of </t>
    </r>
    <r>
      <rPr>
        <u val="single"/>
        <sz val="8"/>
        <color indexed="8"/>
        <rFont val="Arial"/>
        <family val="2"/>
      </rPr>
      <t>locations</t>
    </r>
    <r>
      <rPr>
        <sz val="8"/>
        <color indexed="8"/>
        <rFont val="Arial"/>
        <family val="2"/>
      </rPr>
      <t xml:space="preserve"> at which ecosystem exists:</t>
    </r>
  </si>
  <si>
    <t>Supporting evidence and effects of threatening process(es):</t>
  </si>
  <si>
    <t>Specify basis:</t>
  </si>
  <si>
    <t>Source data:</t>
  </si>
  <si>
    <t xml:space="preserve">B1)  Minimum convex polygon or similar boundary enclosing all </t>
  </si>
  <si>
    <t>B2)  Number of 10 x 10 km grid cells occupied by &gt;1% area:</t>
  </si>
  <si>
    <t xml:space="preserve">       occurrences (extent of occurrence EOO) (km2):</t>
  </si>
  <si>
    <t xml:space="preserve">B1b/2b)  Threatening processes are likely to cause non-trivial continuing declines in geographic distribution, environmental </t>
  </si>
  <si>
    <t xml:space="preserve">               quality and/or biotic interactions within the next 20 years:</t>
  </si>
  <si>
    <t>Supporting evidence (incl. most serious plausible threat):</t>
  </si>
  <si>
    <t>D1)  Relative severity of change (%):</t>
  </si>
  <si>
    <t>D2a)  Relative severity of change(%):</t>
  </si>
  <si>
    <t>D2b)  Relative severity of change (%):</t>
  </si>
  <si>
    <t>D3)  Relative severity of change (%):</t>
  </si>
  <si>
    <t>Specify/justify measure of disruption &amp; supporting evidence:</t>
  </si>
  <si>
    <t>Specify/justify environmental variable &amp; supporting evidence:</t>
  </si>
  <si>
    <t>DD</t>
  </si>
  <si>
    <t>B3) Very small number of locations (generally fewer than 5):</t>
  </si>
  <si>
    <r>
      <t xml:space="preserve">B1a/2a)  Non-trivial </t>
    </r>
    <r>
      <rPr>
        <u val="single"/>
        <sz val="8"/>
        <color indexed="8"/>
        <rFont val="Arial"/>
        <family val="2"/>
      </rPr>
      <t>continuing decline</t>
    </r>
    <r>
      <rPr>
        <sz val="8"/>
        <color indexed="8"/>
        <rFont val="Arial"/>
        <family val="2"/>
      </rPr>
      <t>:</t>
    </r>
  </si>
  <si>
    <t>Continuing decline (B1a/2a) &amp; threatening processes (B1b/2b)</t>
  </si>
  <si>
    <t>Continuing decline (B1a/2a)</t>
  </si>
  <si>
    <t>Decline in an appropriate measure of:</t>
  </si>
  <si>
    <t>ii. environmental quality</t>
  </si>
  <si>
    <t>iii. disruption to biotic interactions</t>
  </si>
  <si>
    <t>i. spatial extent</t>
  </si>
  <si>
    <t>OFFICE OF ENVIRONMENT</t>
  </si>
  <si>
    <t>AND HERITAGE (NSW)</t>
  </si>
  <si>
    <t>Keith et al. (in prep.)</t>
  </si>
  <si>
    <t>Reduction in geographic distribution (%) over the PAST 50 years - lower (O)</t>
  </si>
  <si>
    <t>Reduction in geographic distribution (%) over the PAST 50 years - best - best (B)</t>
  </si>
  <si>
    <t>Reduction in geographic distribution (%) over the PAST 50 years - upper - upper (P)</t>
  </si>
  <si>
    <t>Basis</t>
  </si>
  <si>
    <t>Supporting evidence</t>
  </si>
  <si>
    <t>A2a</t>
  </si>
  <si>
    <t>A2b</t>
  </si>
  <si>
    <t>Beginning and end of decline period</t>
  </si>
  <si>
    <t>Reduction in geographic distribution (%) over the NEXT 50 years - lower (O)</t>
  </si>
  <si>
    <t>Reduction in geographic distribution (%) over the NEXT 50 years - best (B)</t>
  </si>
  <si>
    <t>Reduction in geographic distribution (%) over the NEXT 50 years - upper (P)</t>
  </si>
  <si>
    <t>Reduction in geographic distribution (%) over ANY 50 year period - lower (O)</t>
  </si>
  <si>
    <t>Reduction in geographic distribution (%) over ANY 50 year period - best (B)</t>
  </si>
  <si>
    <t>Individual Rule Status:</t>
  </si>
  <si>
    <t>Rule A</t>
  </si>
  <si>
    <t xml:space="preserve">  Rule B</t>
  </si>
  <si>
    <t xml:space="preserve">  Rule C</t>
  </si>
  <si>
    <t xml:space="preserve">  Rule D</t>
  </si>
  <si>
    <t>Rule E</t>
  </si>
  <si>
    <t xml:space="preserve">     Best:    </t>
  </si>
  <si>
    <t>Optimistic:</t>
  </si>
  <si>
    <r>
      <t xml:space="preserve">Calculation of Ver 3.1 IUCN (2000) </t>
    </r>
    <r>
      <rPr>
        <b/>
        <u val="single"/>
        <sz val="9"/>
        <color indexed="33"/>
        <rFont val="Arial"/>
        <family val="2"/>
      </rPr>
      <t>BEST</t>
    </r>
    <r>
      <rPr>
        <b/>
        <u val="single"/>
        <sz val="9"/>
        <color indexed="12"/>
        <rFont val="Arial"/>
        <family val="2"/>
      </rPr>
      <t xml:space="preserve"> ESTIMATE Summary:</t>
    </r>
  </si>
  <si>
    <r>
      <t xml:space="preserve">Subrule Status:  </t>
    </r>
    <r>
      <rPr>
        <b/>
        <sz val="8"/>
        <color indexed="24"/>
        <rFont val="Arial"/>
        <family val="2"/>
      </rPr>
      <t>1:</t>
    </r>
  </si>
  <si>
    <r>
      <t>:P</t>
    </r>
    <r>
      <rPr>
        <sz val="8"/>
        <color indexed="24"/>
        <rFont val="Arial"/>
        <family val="2"/>
      </rPr>
      <t xml:space="preserve">  :</t>
    </r>
    <r>
      <rPr>
        <b/>
        <sz val="8"/>
        <color indexed="24"/>
        <rFont val="Arial"/>
        <family val="2"/>
      </rPr>
      <t>3</t>
    </r>
  </si>
  <si>
    <r>
      <t>:P</t>
    </r>
    <r>
      <rPr>
        <sz val="8"/>
        <color indexed="24"/>
        <rFont val="Arial"/>
        <family val="2"/>
      </rPr>
      <t xml:space="preserve">  </t>
    </r>
    <r>
      <rPr>
        <b/>
        <sz val="8"/>
        <color indexed="24"/>
        <rFont val="Arial"/>
        <family val="2"/>
      </rPr>
      <t>:2</t>
    </r>
  </si>
  <si>
    <r>
      <t>:P</t>
    </r>
    <r>
      <rPr>
        <sz val="8"/>
        <color indexed="24"/>
        <rFont val="Arial"/>
        <family val="2"/>
      </rPr>
      <t xml:space="preserve">  </t>
    </r>
    <r>
      <rPr>
        <b/>
        <sz val="8"/>
        <color indexed="24"/>
        <rFont val="Arial"/>
        <family val="2"/>
      </rPr>
      <t>:1</t>
    </r>
  </si>
  <si>
    <t>A2 overall</t>
  </si>
  <si>
    <t>C2 overall</t>
  </si>
  <si>
    <t>D2 overall</t>
  </si>
  <si>
    <t>Prone to effects of human activities and stochastic events (degree of belief) - lower (O)</t>
  </si>
  <si>
    <t>Prone to effects of human activities and stochastic events (degree of belief) - best (B)</t>
  </si>
  <si>
    <t>Prone to effects of human activities and stochastic events (degree of belief) - upper (P)</t>
  </si>
  <si>
    <t>Environmental degradation - Extent affected (%) over PAST 50 years - lower (O)</t>
  </si>
  <si>
    <t>Environmental degradation - Extent affected (%) over PAST 50 years - best (B)</t>
  </si>
  <si>
    <t>Environmental degradation - Extent affected (%) over PAST 50 years - upper (P)</t>
  </si>
  <si>
    <t>B1 threshold</t>
  </si>
  <si>
    <t>B2 threshold</t>
  </si>
  <si>
    <t>B1 Overall</t>
  </si>
  <si>
    <t>B2 Overall</t>
  </si>
  <si>
    <t xml:space="preserve"> &lt;-------------------</t>
  </si>
  <si>
    <t>Degree of belief in very small no. locations - best (B)</t>
  </si>
  <si>
    <t>Degree of belief in very small no. locations - upper (P)</t>
  </si>
  <si>
    <t>Degree of belief in very small no. locations - lower (O)</t>
  </si>
  <si>
    <t>simply enter  'DD' (not case-sensitive). For numerical questions requiring a best</t>
  </si>
  <si>
    <t xml:space="preserve">indicated by entering 'DD' in the leftmost cell and leaving the middle and rightmost </t>
  </si>
  <si>
    <t>Alternatively, a copy of both printable tables may be obtained by selecting the 'Print Complete</t>
  </si>
  <si>
    <t xml:space="preserve">        Draft IUCN Red List Criteria for Ecosystems (version 2.0)</t>
  </si>
  <si>
    <t>EN</t>
  </si>
  <si>
    <t>Test</t>
  </si>
  <si>
    <t>code</t>
  </si>
  <si>
    <t>Berin</t>
  </si>
  <si>
    <t>brain</t>
  </si>
  <si>
    <t>Australia</t>
  </si>
  <si>
    <t>NSW</t>
  </si>
  <si>
    <t>n/a</t>
  </si>
  <si>
    <t>CR</t>
  </si>
  <si>
    <t>LR</t>
  </si>
  <si>
    <t>VU</t>
  </si>
  <si>
    <t>Degree of belief (B1a/2a, B1b/2b, B3) - lower</t>
  </si>
  <si>
    <t>Degree of belief (B1a/2a, B1b/2b, B3) - best/upper</t>
  </si>
  <si>
    <t>Test2</t>
  </si>
  <si>
    <t xml:space="preserve">SPREADSHEET DEVELOPMENT version 2.1c, 3 August 2015 </t>
  </si>
  <si>
    <r>
      <t xml:space="preserve"> Version 2.1c based on Keith </t>
    </r>
    <r>
      <rPr>
        <b/>
        <i/>
        <sz val="8"/>
        <color indexed="40"/>
        <rFont val="Arial"/>
        <family val="2"/>
      </rPr>
      <t>et al</t>
    </r>
    <r>
      <rPr>
        <b/>
        <sz val="8"/>
        <color indexed="40"/>
        <rFont val="Arial"/>
        <family val="2"/>
      </rPr>
      <t>. 2013</t>
    </r>
  </si>
  <si>
    <t>IUCN Red List Ecosystem Assessment</t>
  </si>
  <si>
    <r>
      <rPr>
        <b/>
        <u val="single"/>
        <sz val="10"/>
        <color indexed="16"/>
        <rFont val="Arial"/>
        <family val="2"/>
      </rPr>
      <t>IUCN Red List Ec</t>
    </r>
    <r>
      <rPr>
        <b/>
        <u val="single"/>
        <sz val="10"/>
        <color indexed="16"/>
        <rFont val="Arial"/>
        <family val="2"/>
      </rPr>
      <t>osystem Assessment of:</t>
    </r>
  </si>
  <si>
    <t>Prof. David Keith</t>
  </si>
  <si>
    <t xml:space="preserve">   email: david.keith@nsw.edu.au</t>
  </si>
  <si>
    <r>
      <t xml:space="preserve"> Keith, D. A.,</t>
    </r>
    <r>
      <rPr>
        <i/>
        <sz val="10"/>
        <color indexed="14"/>
        <rFont val="Arial"/>
        <family val="2"/>
      </rPr>
      <t xml:space="preserve"> Rodríguez, J. P., Rodríguez-Clark, K. M. et al.</t>
    </r>
    <r>
      <rPr>
        <sz val="10"/>
        <color indexed="14"/>
        <rFont val="Arial"/>
        <family val="2"/>
      </rPr>
      <t xml:space="preserve"> (2013) Scientific Foundations  for</t>
    </r>
  </si>
  <si>
    <r>
      <t xml:space="preserve">  an IUCN Red List of Ecosystems. </t>
    </r>
    <r>
      <rPr>
        <i/>
        <sz val="10"/>
        <color indexed="14"/>
        <rFont val="Arial"/>
        <family val="2"/>
      </rPr>
      <t>PLOS ONE</t>
    </r>
    <r>
      <rPr>
        <sz val="10"/>
        <color indexed="14"/>
        <rFont val="Arial"/>
        <family val="2"/>
      </rPr>
      <t xml:space="preserve"> 8(5): e62111 [DOI: 10.1371/journal.pone.0062111]</t>
    </r>
  </si>
  <si>
    <t xml:space="preserve">   http://journals.plos.org/plosone/article?id=10.1371/journal.pone.0062111</t>
  </si>
  <si>
    <t xml:space="preserve"> Rodríguez, J. P., Keith, D. A, Rodríguez-Clark, K. M. et al. (2015). A practical guide to the </t>
  </si>
  <si>
    <t xml:space="preserve">   application of the IUCN Red List of Ecosystems criteria. Philosophical Transactions of the</t>
  </si>
  <si>
    <t xml:space="preserve">   Royal Society B 370, 20140003 [DOI: 10.1098/rstb.2014.0003]</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</si>
</sst>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
    <numFmt numFmtId="173" formatCode="0.0"/>
    <numFmt numFmtId="174" formatCode="[$-C09]dddd\,\ d\ mmmm\ yyyy"/>
    <numFmt numFmtId="175" formatCode="d/mm/yyyy;@"/>
    <numFmt numFmtId="176" formatCode="&quot;Yes&quot;;&quot;Yes&quot;;&quot;No&quot;"/>
    <numFmt numFmtId="177" formatCode="&quot;True&quot;;&quot;True&quot;;&quot;False&quot;"/>
    <numFmt numFmtId="178" formatCode="&quot;On&quot;;&quot;On&quot;;&quot;Off&quot;"/>
    <numFmt numFmtId="179" formatCode="[$€-2]\ #,##0.00_);[Red]\([$€-2]\ #,##0.00\)"/>
  </numFmts>
  <fonts count="165">
    <font>
      <sz val="10"/>
      <name val="Arial"/>
      <family val="0"/>
    </font>
    <font>
      <b/>
      <sz val="10"/>
      <color indexed="14"/>
      <name val="Arial"/>
      <family val="2"/>
    </font>
    <font>
      <b/>
      <sz val="10"/>
      <color indexed="24"/>
      <name val="Arial"/>
      <family val="2"/>
    </font>
    <font>
      <b/>
      <sz val="10"/>
      <color indexed="11"/>
      <name val="Arial"/>
      <family val="2"/>
    </font>
    <font>
      <b/>
      <sz val="10"/>
      <color indexed="21"/>
      <name val="Arial"/>
      <family val="2"/>
    </font>
    <font>
      <b/>
      <u val="single"/>
      <sz val="11"/>
      <color indexed="39"/>
      <name val="Arial"/>
      <family val="2"/>
    </font>
    <font>
      <b/>
      <sz val="9"/>
      <color indexed="48"/>
      <name val="Arial"/>
      <family val="2"/>
    </font>
    <font>
      <sz val="8"/>
      <name val="Arial"/>
      <family val="2"/>
    </font>
    <font>
      <b/>
      <sz val="8"/>
      <color indexed="40"/>
      <name val="Arial"/>
      <family val="2"/>
    </font>
    <font>
      <b/>
      <u val="single"/>
      <sz val="12"/>
      <color indexed="11"/>
      <name val="Arial"/>
      <family val="2"/>
    </font>
    <font>
      <b/>
      <sz val="10"/>
      <color indexed="9"/>
      <name val="Arial"/>
      <family val="2"/>
    </font>
    <font>
      <b/>
      <sz val="10"/>
      <color indexed="50"/>
      <name val="Arial"/>
      <family val="2"/>
    </font>
    <font>
      <u val="single"/>
      <sz val="8"/>
      <color indexed="8"/>
      <name val="Arial"/>
      <family val="2"/>
    </font>
    <font>
      <sz val="8"/>
      <color indexed="8"/>
      <name val="Arial"/>
      <family val="2"/>
    </font>
    <font>
      <i/>
      <sz val="8"/>
      <name val="Arial"/>
      <family val="2"/>
    </font>
    <font>
      <b/>
      <u val="single"/>
      <sz val="8"/>
      <color indexed="8"/>
      <name val="Arial"/>
      <family val="2"/>
    </font>
    <font>
      <b/>
      <sz val="10"/>
      <name val="Arial"/>
      <family val="2"/>
    </font>
    <font>
      <i/>
      <sz val="8"/>
      <color indexed="8"/>
      <name val="Arial"/>
      <family val="2"/>
    </font>
    <font>
      <sz val="10"/>
      <name val="Tahoma"/>
      <family val="2"/>
    </font>
    <font>
      <sz val="8"/>
      <name val="Tahoma"/>
      <family val="2"/>
    </font>
    <font>
      <sz val="12"/>
      <name val="Calibri"/>
      <family val="2"/>
    </font>
    <font>
      <b/>
      <i/>
      <sz val="8"/>
      <color indexed="46"/>
      <name val="Arial"/>
      <family val="2"/>
    </font>
    <font>
      <b/>
      <sz val="8"/>
      <color indexed="17"/>
      <name val="Arial"/>
      <family val="2"/>
    </font>
    <font>
      <b/>
      <sz val="8"/>
      <color indexed="10"/>
      <name val="Arial"/>
      <family val="2"/>
    </font>
    <font>
      <b/>
      <sz val="8"/>
      <color indexed="14"/>
      <name val="Arial"/>
      <family val="2"/>
    </font>
    <font>
      <b/>
      <u val="single"/>
      <sz val="10"/>
      <color indexed="46"/>
      <name val="Arial"/>
      <family val="2"/>
    </font>
    <font>
      <b/>
      <sz val="8"/>
      <color indexed="33"/>
      <name val="Arial"/>
      <family val="2"/>
    </font>
    <font>
      <b/>
      <sz val="8"/>
      <color indexed="29"/>
      <name val="Arial"/>
      <family val="2"/>
    </font>
    <font>
      <b/>
      <sz val="8"/>
      <color indexed="51"/>
      <name val="Arial"/>
      <family val="2"/>
    </font>
    <font>
      <b/>
      <sz val="8"/>
      <color indexed="54"/>
      <name val="Arial"/>
      <family val="2"/>
    </font>
    <font>
      <b/>
      <sz val="8"/>
      <color indexed="12"/>
      <name val="Arial"/>
      <family val="2"/>
    </font>
    <font>
      <b/>
      <sz val="10"/>
      <color indexed="19"/>
      <name val="Arial"/>
      <family val="2"/>
    </font>
    <font>
      <sz val="8"/>
      <color indexed="55"/>
      <name val="Arial"/>
      <family val="2"/>
    </font>
    <font>
      <b/>
      <sz val="8"/>
      <color indexed="8"/>
      <name val="Arial"/>
      <family val="2"/>
    </font>
    <font>
      <b/>
      <u val="single"/>
      <sz val="10"/>
      <color indexed="39"/>
      <name val="Arial"/>
      <family val="2"/>
    </font>
    <font>
      <b/>
      <sz val="10"/>
      <color indexed="33"/>
      <name val="Arial"/>
      <family val="2"/>
    </font>
    <font>
      <b/>
      <sz val="10"/>
      <color indexed="10"/>
      <name val="Arial"/>
      <family val="2"/>
    </font>
    <font>
      <b/>
      <sz val="8"/>
      <color indexed="24"/>
      <name val="Arial"/>
      <family val="2"/>
    </font>
    <font>
      <sz val="10"/>
      <color indexed="9"/>
      <name val="Arial"/>
      <family val="2"/>
    </font>
    <font>
      <b/>
      <sz val="8"/>
      <color indexed="56"/>
      <name val="Arial"/>
      <family val="2"/>
    </font>
    <font>
      <b/>
      <sz val="8"/>
      <color indexed="48"/>
      <name val="Arial"/>
      <family val="2"/>
    </font>
    <font>
      <b/>
      <sz val="8"/>
      <color indexed="37"/>
      <name val="Arial"/>
      <family val="2"/>
    </font>
    <font>
      <b/>
      <sz val="8"/>
      <color indexed="55"/>
      <name val="Arial"/>
      <family val="2"/>
    </font>
    <font>
      <sz val="8"/>
      <color indexed="33"/>
      <name val="Arial"/>
      <family val="2"/>
    </font>
    <font>
      <sz val="10"/>
      <color indexed="55"/>
      <name val="Arial"/>
      <family val="2"/>
    </font>
    <font>
      <sz val="10"/>
      <color indexed="8"/>
      <name val="Arial"/>
      <family val="2"/>
    </font>
    <font>
      <b/>
      <sz val="8"/>
      <name val="Arial"/>
      <family val="2"/>
    </font>
    <font>
      <b/>
      <sz val="10"/>
      <color indexed="13"/>
      <name val="Arial"/>
      <family val="2"/>
    </font>
    <font>
      <b/>
      <sz val="8"/>
      <color indexed="19"/>
      <name val="Arial"/>
      <family val="2"/>
    </font>
    <font>
      <b/>
      <sz val="10"/>
      <color indexed="15"/>
      <name val="Arial"/>
      <family val="2"/>
    </font>
    <font>
      <b/>
      <sz val="10"/>
      <color indexed="39"/>
      <name val="Arial"/>
      <family val="2"/>
    </font>
    <font>
      <sz val="10"/>
      <color indexed="10"/>
      <name val="Arial"/>
      <family val="2"/>
    </font>
    <font>
      <sz val="10"/>
      <color indexed="12"/>
      <name val="Arial"/>
      <family val="2"/>
    </font>
    <font>
      <sz val="10"/>
      <color indexed="46"/>
      <name val="Arial"/>
      <family val="2"/>
    </font>
    <font>
      <sz val="9"/>
      <name val="Arial"/>
      <family val="2"/>
    </font>
    <font>
      <sz val="8"/>
      <color indexed="10"/>
      <name val="Arial"/>
      <family val="2"/>
    </font>
    <font>
      <sz val="8"/>
      <color indexed="12"/>
      <name val="Arial"/>
      <family val="2"/>
    </font>
    <font>
      <sz val="8"/>
      <color indexed="46"/>
      <name val="Arial"/>
      <family val="2"/>
    </font>
    <font>
      <sz val="8"/>
      <color indexed="39"/>
      <name val="Arial"/>
      <family val="2"/>
    </font>
    <font>
      <b/>
      <sz val="8"/>
      <color indexed="36"/>
      <name val="Arial"/>
      <family val="2"/>
    </font>
    <font>
      <b/>
      <sz val="12"/>
      <color indexed="36"/>
      <name val="Arial"/>
      <family val="2"/>
    </font>
    <font>
      <b/>
      <u val="single"/>
      <sz val="10"/>
      <color indexed="16"/>
      <name val="Arial"/>
      <family val="2"/>
    </font>
    <font>
      <sz val="10"/>
      <color indexed="16"/>
      <name val="Arial"/>
      <family val="2"/>
    </font>
    <font>
      <sz val="8"/>
      <color indexed="16"/>
      <name val="Arial"/>
      <family val="2"/>
    </font>
    <font>
      <b/>
      <i/>
      <sz val="10"/>
      <color indexed="19"/>
      <name val="Arial"/>
      <family val="2"/>
    </font>
    <font>
      <sz val="8"/>
      <color indexed="24"/>
      <name val="Arial"/>
      <family val="2"/>
    </font>
    <font>
      <b/>
      <i/>
      <sz val="8"/>
      <color indexed="17"/>
      <name val="Arial"/>
      <family val="2"/>
    </font>
    <font>
      <b/>
      <sz val="8"/>
      <color indexed="52"/>
      <name val="Arial"/>
      <family val="2"/>
    </font>
    <font>
      <b/>
      <i/>
      <sz val="10"/>
      <color indexed="17"/>
      <name val="Arial"/>
      <family val="2"/>
    </font>
    <font>
      <sz val="8"/>
      <color indexed="52"/>
      <name val="Arial"/>
      <family val="2"/>
    </font>
    <font>
      <b/>
      <i/>
      <sz val="8"/>
      <color indexed="24"/>
      <name val="Arial"/>
      <family val="2"/>
    </font>
    <font>
      <sz val="10"/>
      <color indexed="24"/>
      <name val="Arial"/>
      <family val="2"/>
    </font>
    <font>
      <sz val="8"/>
      <color indexed="9"/>
      <name val="Arial"/>
      <family val="2"/>
    </font>
    <font>
      <b/>
      <u val="single"/>
      <sz val="11"/>
      <name val="Times New Roman"/>
      <family val="1"/>
    </font>
    <font>
      <u val="single"/>
      <sz val="10"/>
      <name val="Arial"/>
      <family val="2"/>
    </font>
    <font>
      <sz val="8"/>
      <color indexed="51"/>
      <name val="Arial"/>
      <family val="2"/>
    </font>
    <font>
      <b/>
      <u val="single"/>
      <sz val="10"/>
      <name val="Times New Roman"/>
      <family val="1"/>
    </font>
    <font>
      <b/>
      <sz val="10"/>
      <color indexed="12"/>
      <name val="Arial"/>
      <family val="2"/>
    </font>
    <font>
      <b/>
      <sz val="12"/>
      <color indexed="14"/>
      <name val="Arial"/>
      <family val="2"/>
    </font>
    <font>
      <b/>
      <sz val="10"/>
      <color indexed="29"/>
      <name val="Arial"/>
      <family val="2"/>
    </font>
    <font>
      <b/>
      <sz val="10"/>
      <color indexed="40"/>
      <name val="Arial"/>
      <family val="2"/>
    </font>
    <font>
      <b/>
      <sz val="12"/>
      <color indexed="29"/>
      <name val="Arial"/>
      <family val="2"/>
    </font>
    <font>
      <b/>
      <i/>
      <sz val="10"/>
      <color indexed="46"/>
      <name val="Arial"/>
      <family val="2"/>
    </font>
    <font>
      <b/>
      <sz val="12"/>
      <color indexed="13"/>
      <name val="Arial"/>
      <family val="2"/>
    </font>
    <font>
      <b/>
      <sz val="10"/>
      <color indexed="34"/>
      <name val="Arial"/>
      <family val="2"/>
    </font>
    <font>
      <b/>
      <sz val="10"/>
      <color indexed="38"/>
      <name val="Arial"/>
      <family val="2"/>
    </font>
    <font>
      <b/>
      <sz val="12"/>
      <color indexed="11"/>
      <name val="Arial"/>
      <family val="2"/>
    </font>
    <font>
      <b/>
      <sz val="14"/>
      <color indexed="14"/>
      <name val="Arial"/>
      <family val="2"/>
    </font>
    <font>
      <b/>
      <sz val="12"/>
      <color indexed="9"/>
      <name val="Arial"/>
      <family val="2"/>
    </font>
    <font>
      <sz val="13"/>
      <color indexed="8"/>
      <name val="Arial"/>
      <family val="2"/>
    </font>
    <font>
      <b/>
      <sz val="8"/>
      <color indexed="9"/>
      <name val="Arial"/>
      <family val="2"/>
    </font>
    <font>
      <sz val="8"/>
      <color indexed="37"/>
      <name val="Arial"/>
      <family val="2"/>
    </font>
    <font>
      <sz val="8"/>
      <color indexed="23"/>
      <name val="Arial"/>
      <family val="2"/>
    </font>
    <font>
      <sz val="8"/>
      <color indexed="29"/>
      <name val="Arial"/>
      <family val="2"/>
    </font>
    <font>
      <b/>
      <u val="single"/>
      <sz val="8"/>
      <color indexed="10"/>
      <name val="Arial"/>
      <family val="2"/>
    </font>
    <font>
      <u val="single"/>
      <sz val="8"/>
      <color indexed="23"/>
      <name val="Arial"/>
      <family val="2"/>
    </font>
    <font>
      <b/>
      <u val="single"/>
      <sz val="11"/>
      <color indexed="14"/>
      <name val="Arial"/>
      <family val="2"/>
    </font>
    <font>
      <u val="single"/>
      <sz val="8"/>
      <color indexed="46"/>
      <name val="Arial"/>
      <family val="2"/>
    </font>
    <font>
      <u val="single"/>
      <sz val="8"/>
      <color indexed="24"/>
      <name val="Arial"/>
      <family val="2"/>
    </font>
    <font>
      <sz val="8"/>
      <color indexed="19"/>
      <name val="Arial"/>
      <family val="2"/>
    </font>
    <font>
      <u val="single"/>
      <sz val="8"/>
      <color indexed="37"/>
      <name val="Arial"/>
      <family val="2"/>
    </font>
    <font>
      <b/>
      <sz val="8"/>
      <name val="Tahoma"/>
      <family val="2"/>
    </font>
    <font>
      <b/>
      <u val="single"/>
      <sz val="9"/>
      <color indexed="12"/>
      <name val="Arial"/>
      <family val="2"/>
    </font>
    <font>
      <b/>
      <u val="single"/>
      <sz val="9"/>
      <color indexed="33"/>
      <name val="Arial"/>
      <family val="2"/>
    </font>
    <font>
      <sz val="8"/>
      <color indexed="32"/>
      <name val="Arial"/>
      <family val="2"/>
    </font>
    <font>
      <b/>
      <sz val="8"/>
      <color indexed="32"/>
      <name val="Arial"/>
      <family val="2"/>
    </font>
    <font>
      <u val="single"/>
      <sz val="8"/>
      <color indexed="10"/>
      <name val="Arial"/>
      <family val="2"/>
    </font>
    <font>
      <b/>
      <sz val="11"/>
      <color indexed="40"/>
      <name val="Arial"/>
      <family val="2"/>
    </font>
    <font>
      <b/>
      <u val="single"/>
      <sz val="10"/>
      <color indexed="14"/>
      <name val="Arial"/>
      <family val="2"/>
    </font>
    <font>
      <b/>
      <i/>
      <u val="single"/>
      <sz val="10"/>
      <color indexed="14"/>
      <name val="Arial"/>
      <family val="2"/>
    </font>
    <font>
      <sz val="10"/>
      <color indexed="14"/>
      <name val="Arial"/>
      <family val="2"/>
    </font>
    <font>
      <i/>
      <sz val="10"/>
      <color indexed="14"/>
      <name val="Arial"/>
      <family val="2"/>
    </font>
    <font>
      <sz val="10"/>
      <color indexed="48"/>
      <name val="Arial"/>
      <family val="2"/>
    </font>
    <font>
      <u val="single"/>
      <sz val="10"/>
      <color indexed="48"/>
      <name val="Arial"/>
      <family val="2"/>
    </font>
    <font>
      <b/>
      <sz val="8"/>
      <color indexed="50"/>
      <name val="Arial"/>
      <family val="2"/>
    </font>
    <font>
      <b/>
      <sz val="9"/>
      <color indexed="14"/>
      <name val="Arial"/>
      <family val="2"/>
    </font>
    <font>
      <b/>
      <sz val="12"/>
      <color indexed="55"/>
      <name val="Arial"/>
      <family val="2"/>
    </font>
    <font>
      <b/>
      <i/>
      <sz val="8"/>
      <color indexed="40"/>
      <name val="Arial"/>
      <family val="2"/>
    </font>
    <font>
      <b/>
      <sz val="8"/>
      <color indexed="11"/>
      <name val="Arial"/>
      <family val="2"/>
    </font>
    <font>
      <sz val="8"/>
      <color indexed="14"/>
      <name val="Arial"/>
      <family val="2"/>
    </font>
    <font>
      <sz val="10"/>
      <color indexed="57"/>
      <name val="Arial"/>
      <family val="2"/>
    </font>
    <font>
      <sz val="8"/>
      <color indexed="57"/>
      <name val="Arial"/>
      <family val="2"/>
    </font>
    <font>
      <b/>
      <sz val="9"/>
      <name val="Arial"/>
      <family val="2"/>
    </font>
    <font>
      <b/>
      <sz val="10"/>
      <color indexed="8"/>
      <name val="Arial"/>
      <family val="2"/>
    </font>
    <font>
      <b/>
      <sz val="9"/>
      <color indexed="19"/>
      <name val="Arial"/>
      <family val="2"/>
    </font>
    <font>
      <b/>
      <sz val="10"/>
      <name val="Tahoma"/>
      <family val="2"/>
    </font>
    <font>
      <b/>
      <sz val="10"/>
      <color indexed="52"/>
      <name val="Arial"/>
      <family val="2"/>
    </font>
    <font>
      <sz val="10"/>
      <color indexed="22"/>
      <name val="Arial"/>
      <family val="2"/>
    </font>
    <font>
      <b/>
      <u val="single"/>
      <sz val="12"/>
      <color indexed="12"/>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15"/>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4"/>
        <bgColor indexed="64"/>
      </patternFill>
    </fill>
    <fill>
      <patternFill patternType="solid">
        <fgColor indexed="51"/>
        <bgColor indexed="64"/>
      </patternFill>
    </fill>
    <fill>
      <patternFill patternType="solid">
        <fgColor indexed="41"/>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style="thin"/>
      <top>
        <color indexed="63"/>
      </top>
      <bottom>
        <color indexed="63"/>
      </bottom>
    </border>
    <border>
      <left style="thin"/>
      <right style="thin"/>
      <top style="thin"/>
      <bottom style="thin"/>
    </border>
    <border>
      <left style="medium"/>
      <right style="thin"/>
      <top>
        <color indexed="63"/>
      </top>
      <bottom style="thin"/>
    </border>
    <border>
      <left style="thin"/>
      <right style="thin"/>
      <top style="thin"/>
      <bottom>
        <color indexed="63"/>
      </bottom>
    </border>
    <border>
      <left style="medium"/>
      <right>
        <color indexed="63"/>
      </right>
      <top>
        <color indexed="63"/>
      </top>
      <bottom style="thin"/>
    </border>
    <border>
      <left style="medium"/>
      <right style="thin"/>
      <top>
        <color indexed="63"/>
      </top>
      <bottom style="medium"/>
    </border>
    <border>
      <left style="medium"/>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color indexed="63"/>
      </right>
      <top style="medium"/>
      <bottom style="thin"/>
    </border>
    <border>
      <left style="medium"/>
      <right>
        <color indexed="63"/>
      </right>
      <top style="medium"/>
      <bottom style="thin"/>
    </border>
    <border>
      <left style="thin"/>
      <right style="medium"/>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color indexed="63"/>
      </top>
      <bottom style="thin"/>
    </border>
    <border>
      <left style="thin"/>
      <right>
        <color indexed="63"/>
      </right>
      <top>
        <color indexed="63"/>
      </top>
      <bottom style="thin"/>
    </border>
    <border>
      <left>
        <color indexed="63"/>
      </left>
      <right style="thin"/>
      <top>
        <color indexed="63"/>
      </top>
      <bottom>
        <color indexed="63"/>
      </bottom>
    </border>
    <border>
      <left style="medium"/>
      <right style="medium"/>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color indexed="63"/>
      </left>
      <right style="medium"/>
      <top style="medium"/>
      <bottom style="thin"/>
    </border>
    <border>
      <left style="medium"/>
      <right>
        <color indexed="63"/>
      </right>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style="thin"/>
      <top>
        <color indexed="63"/>
      </top>
      <bottom style="thin">
        <color indexed="22"/>
      </bottom>
    </border>
    <border>
      <left style="thin"/>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top>
        <color indexed="63"/>
      </top>
      <bottom style="thin">
        <color indexed="22"/>
      </bottom>
    </border>
    <border>
      <left>
        <color indexed="63"/>
      </left>
      <right style="thin"/>
      <top>
        <color indexed="63"/>
      </top>
      <bottom style="thin"/>
    </border>
    <border>
      <left style="thin"/>
      <right style="thin"/>
      <top style="thin"/>
      <bottom style="thin">
        <color indexed="22"/>
      </bottom>
    </border>
    <border>
      <left>
        <color indexed="63"/>
      </left>
      <right style="thin"/>
      <top style="thin"/>
      <bottom style="thin">
        <color indexed="22"/>
      </bottom>
    </border>
    <border>
      <left style="thin"/>
      <right>
        <color indexed="63"/>
      </right>
      <top style="thin"/>
      <bottom style="thin">
        <color indexed="22"/>
      </bottom>
    </border>
    <border>
      <left>
        <color indexed="63"/>
      </left>
      <right>
        <color indexed="63"/>
      </right>
      <top style="thin"/>
      <bottom style="thin">
        <color indexed="22"/>
      </bottom>
    </border>
    <border>
      <left style="thin"/>
      <right style="thin"/>
      <top style="thin">
        <color indexed="22"/>
      </top>
      <bottom style="thin">
        <color indexed="22"/>
      </bottom>
    </border>
    <border>
      <left style="thin"/>
      <right style="thin"/>
      <top style="medium"/>
      <bottom style="thin"/>
    </border>
    <border>
      <left style="medium"/>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style="thin"/>
      <top style="medium"/>
      <bottom>
        <color indexed="63"/>
      </bottom>
    </border>
    <border>
      <left>
        <color indexed="63"/>
      </left>
      <right style="thin"/>
      <top style="thin">
        <color indexed="22"/>
      </top>
      <bottom style="thin"/>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8" fillId="2" borderId="0" applyNumberFormat="0" applyBorder="0" applyAlignment="0" applyProtection="0"/>
    <xf numFmtId="0" fontId="148" fillId="3" borderId="0" applyNumberFormat="0" applyBorder="0" applyAlignment="0" applyProtection="0"/>
    <xf numFmtId="0" fontId="148" fillId="4" borderId="0" applyNumberFormat="0" applyBorder="0" applyAlignment="0" applyProtection="0"/>
    <xf numFmtId="0" fontId="148" fillId="5" borderId="0" applyNumberFormat="0" applyBorder="0" applyAlignment="0" applyProtection="0"/>
    <xf numFmtId="0" fontId="148" fillId="6" borderId="0" applyNumberFormat="0" applyBorder="0" applyAlignment="0" applyProtection="0"/>
    <xf numFmtId="0" fontId="148" fillId="7" borderId="0" applyNumberFormat="0" applyBorder="0" applyAlignment="0" applyProtection="0"/>
    <xf numFmtId="0" fontId="148" fillId="8" borderId="0" applyNumberFormat="0" applyBorder="0" applyAlignment="0" applyProtection="0"/>
    <xf numFmtId="0" fontId="148" fillId="9" borderId="0" applyNumberFormat="0" applyBorder="0" applyAlignment="0" applyProtection="0"/>
    <xf numFmtId="0" fontId="148" fillId="10" borderId="0" applyNumberFormat="0" applyBorder="0" applyAlignment="0" applyProtection="0"/>
    <xf numFmtId="0" fontId="148" fillId="11" borderId="0" applyNumberFormat="0" applyBorder="0" applyAlignment="0" applyProtection="0"/>
    <xf numFmtId="0" fontId="148" fillId="12" borderId="0" applyNumberFormat="0" applyBorder="0" applyAlignment="0" applyProtection="0"/>
    <xf numFmtId="0" fontId="148" fillId="13" borderId="0" applyNumberFormat="0" applyBorder="0" applyAlignment="0" applyProtection="0"/>
    <xf numFmtId="0" fontId="149" fillId="14" borderId="0" applyNumberFormat="0" applyBorder="0" applyAlignment="0" applyProtection="0"/>
    <xf numFmtId="0" fontId="149" fillId="15" borderId="0" applyNumberFormat="0" applyBorder="0" applyAlignment="0" applyProtection="0"/>
    <xf numFmtId="0" fontId="149" fillId="16" borderId="0" applyNumberFormat="0" applyBorder="0" applyAlignment="0" applyProtection="0"/>
    <xf numFmtId="0" fontId="149" fillId="17" borderId="0" applyNumberFormat="0" applyBorder="0" applyAlignment="0" applyProtection="0"/>
    <xf numFmtId="0" fontId="149" fillId="18" borderId="0" applyNumberFormat="0" applyBorder="0" applyAlignment="0" applyProtection="0"/>
    <xf numFmtId="0" fontId="149" fillId="19" borderId="0" applyNumberFormat="0" applyBorder="0" applyAlignment="0" applyProtection="0"/>
    <xf numFmtId="0" fontId="149" fillId="20" borderId="0" applyNumberFormat="0" applyBorder="0" applyAlignment="0" applyProtection="0"/>
    <xf numFmtId="0" fontId="149" fillId="21" borderId="0" applyNumberFormat="0" applyBorder="0" applyAlignment="0" applyProtection="0"/>
    <xf numFmtId="0" fontId="149" fillId="22" borderId="0" applyNumberFormat="0" applyBorder="0" applyAlignment="0" applyProtection="0"/>
    <xf numFmtId="0" fontId="149" fillId="23" borderId="0" applyNumberFormat="0" applyBorder="0" applyAlignment="0" applyProtection="0"/>
    <xf numFmtId="0" fontId="149" fillId="24" borderId="0" applyNumberFormat="0" applyBorder="0" applyAlignment="0" applyProtection="0"/>
    <xf numFmtId="0" fontId="149" fillId="25" borderId="0" applyNumberFormat="0" applyBorder="0" applyAlignment="0" applyProtection="0"/>
    <xf numFmtId="0" fontId="150" fillId="26" borderId="0" applyNumberFormat="0" applyBorder="0" applyAlignment="0" applyProtection="0"/>
    <xf numFmtId="0" fontId="151" fillId="27" borderId="1" applyNumberFormat="0" applyAlignment="0" applyProtection="0"/>
    <xf numFmtId="0" fontId="1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3" fillId="0" borderId="0" applyNumberFormat="0" applyFill="0" applyBorder="0" applyAlignment="0" applyProtection="0"/>
    <xf numFmtId="0" fontId="130" fillId="0" borderId="0" applyNumberFormat="0" applyFill="0" applyBorder="0" applyAlignment="0" applyProtection="0"/>
    <xf numFmtId="0" fontId="154" fillId="29" borderId="0" applyNumberFormat="0" applyBorder="0" applyAlignment="0" applyProtection="0"/>
    <xf numFmtId="0" fontId="155" fillId="0" borderId="3" applyNumberFormat="0" applyFill="0" applyAlignment="0" applyProtection="0"/>
    <xf numFmtId="0" fontId="156" fillId="0" borderId="4" applyNumberFormat="0" applyFill="0" applyAlignment="0" applyProtection="0"/>
    <xf numFmtId="0" fontId="157" fillId="0" borderId="5" applyNumberFormat="0" applyFill="0" applyAlignment="0" applyProtection="0"/>
    <xf numFmtId="0" fontId="157" fillId="0" borderId="0" applyNumberFormat="0" applyFill="0" applyBorder="0" applyAlignment="0" applyProtection="0"/>
    <xf numFmtId="0" fontId="129" fillId="0" borderId="0" applyNumberFormat="0" applyFill="0" applyBorder="0" applyAlignment="0" applyProtection="0"/>
    <xf numFmtId="0" fontId="158" fillId="30" borderId="1" applyNumberFormat="0" applyAlignment="0" applyProtection="0"/>
    <xf numFmtId="0" fontId="159" fillId="0" borderId="6" applyNumberFormat="0" applyFill="0" applyAlignment="0" applyProtection="0"/>
    <xf numFmtId="0" fontId="160" fillId="31" borderId="0" applyNumberFormat="0" applyBorder="0" applyAlignment="0" applyProtection="0"/>
    <xf numFmtId="0" fontId="0" fillId="32" borderId="7" applyNumberFormat="0" applyFont="0" applyAlignment="0" applyProtection="0"/>
    <xf numFmtId="0" fontId="161" fillId="27" borderId="8" applyNumberFormat="0" applyAlignment="0" applyProtection="0"/>
    <xf numFmtId="9" fontId="0" fillId="0" borderId="0" applyFont="0" applyFill="0" applyBorder="0" applyAlignment="0" applyProtection="0"/>
    <xf numFmtId="0" fontId="162" fillId="0" borderId="0" applyNumberFormat="0" applyFill="0" applyBorder="0" applyAlignment="0" applyProtection="0"/>
    <xf numFmtId="0" fontId="163" fillId="0" borderId="9" applyNumberFormat="0" applyFill="0" applyAlignment="0" applyProtection="0"/>
    <xf numFmtId="0" fontId="164" fillId="0" borderId="0" applyNumberFormat="0" applyFill="0" applyBorder="0" applyAlignment="0" applyProtection="0"/>
  </cellStyleXfs>
  <cellXfs count="670">
    <xf numFmtId="0" fontId="0" fillId="0" borderId="0" xfId="0" applyAlignment="1">
      <alignment/>
    </xf>
    <xf numFmtId="0" fontId="5" fillId="33" borderId="10" xfId="0" applyFont="1" applyFill="1" applyBorder="1" applyAlignment="1" applyProtection="1">
      <alignment horizontal="left"/>
      <protection hidden="1"/>
    </xf>
    <xf numFmtId="0" fontId="0" fillId="33" borderId="0" xfId="0" applyFill="1" applyBorder="1" applyAlignment="1" applyProtection="1">
      <alignment/>
      <protection hidden="1"/>
    </xf>
    <xf numFmtId="0" fontId="6" fillId="33" borderId="0" xfId="0" applyFont="1" applyFill="1" applyBorder="1" applyAlignment="1" applyProtection="1">
      <alignment/>
      <protection hidden="1"/>
    </xf>
    <xf numFmtId="0" fontId="9" fillId="33" borderId="0" xfId="0" applyFont="1" applyFill="1" applyBorder="1" applyAlignment="1" applyProtection="1">
      <alignment horizontal="left"/>
      <protection hidden="1"/>
    </xf>
    <xf numFmtId="0" fontId="10" fillId="33" borderId="0" xfId="0" applyFont="1" applyFill="1" applyBorder="1" applyAlignment="1" applyProtection="1">
      <alignment horizontal="left"/>
      <protection hidden="1"/>
    </xf>
    <xf numFmtId="0" fontId="11" fillId="0" borderId="11" xfId="0" applyFont="1" applyBorder="1" applyAlignment="1" applyProtection="1">
      <alignment/>
      <protection hidden="1"/>
    </xf>
    <xf numFmtId="0" fontId="7" fillId="33" borderId="11" xfId="0" applyFont="1" applyFill="1" applyBorder="1" applyAlignment="1" applyProtection="1">
      <alignment horizontal="center"/>
      <protection hidden="1"/>
    </xf>
    <xf numFmtId="0" fontId="13" fillId="0" borderId="12" xfId="0" applyFont="1" applyFill="1" applyBorder="1" applyAlignment="1" applyProtection="1">
      <alignment horizontal="left"/>
      <protection hidden="1"/>
    </xf>
    <xf numFmtId="0" fontId="15" fillId="0" borderId="13" xfId="0" applyFont="1" applyBorder="1" applyAlignment="1" applyProtection="1">
      <alignment horizontal="left"/>
      <protection hidden="1"/>
    </xf>
    <xf numFmtId="0" fontId="13" fillId="0" borderId="12" xfId="0" applyFont="1" applyBorder="1" applyAlignment="1" applyProtection="1">
      <alignment horizontal="right"/>
      <protection hidden="1"/>
    </xf>
    <xf numFmtId="0" fontId="13" fillId="0" borderId="12" xfId="0" applyFont="1" applyBorder="1" applyAlignment="1" applyProtection="1">
      <alignment horizontal="left"/>
      <protection hidden="1"/>
    </xf>
    <xf numFmtId="0" fontId="7" fillId="0" borderId="14" xfId="0" applyNumberFormat="1" applyFont="1" applyFill="1" applyBorder="1" applyAlignment="1" applyProtection="1">
      <alignment horizontal="center"/>
      <protection locked="0"/>
    </xf>
    <xf numFmtId="0" fontId="17" fillId="0" borderId="12" xfId="0" applyFont="1" applyBorder="1" applyAlignment="1" applyProtection="1">
      <alignment horizontal="right"/>
      <protection hidden="1"/>
    </xf>
    <xf numFmtId="0" fontId="7" fillId="0" borderId="15" xfId="0" applyNumberFormat="1" applyFont="1" applyFill="1" applyBorder="1" applyAlignment="1" applyProtection="1">
      <alignment horizontal="center"/>
      <protection locked="0"/>
    </xf>
    <xf numFmtId="0" fontId="17" fillId="0" borderId="16" xfId="0" applyFont="1" applyBorder="1" applyAlignment="1" applyProtection="1">
      <alignment horizontal="right"/>
      <protection hidden="1"/>
    </xf>
    <xf numFmtId="0" fontId="0" fillId="0" borderId="0" xfId="0" applyAlignment="1" applyProtection="1">
      <alignment/>
      <protection hidden="1"/>
    </xf>
    <xf numFmtId="0" fontId="13" fillId="0" borderId="12" xfId="0" applyFont="1" applyBorder="1" applyAlignment="1" applyProtection="1">
      <alignment/>
      <protection hidden="1"/>
    </xf>
    <xf numFmtId="0" fontId="7" fillId="0" borderId="17" xfId="0" applyNumberFormat="1" applyFont="1" applyBorder="1" applyAlignment="1" applyProtection="1">
      <alignment horizontal="center"/>
      <protection locked="0"/>
    </xf>
    <xf numFmtId="0" fontId="17" fillId="0" borderId="18" xfId="0" applyFont="1" applyBorder="1" applyAlignment="1" applyProtection="1">
      <alignment horizontal="right"/>
      <protection hidden="1"/>
    </xf>
    <xf numFmtId="0" fontId="17" fillId="0" borderId="19" xfId="0" applyFont="1" applyBorder="1" applyAlignment="1" applyProtection="1">
      <alignment horizontal="right"/>
      <protection hidden="1"/>
    </xf>
    <xf numFmtId="0" fontId="13" fillId="0" borderId="20" xfId="0" applyFont="1" applyBorder="1" applyAlignment="1" applyProtection="1">
      <alignment/>
      <protection hidden="1"/>
    </xf>
    <xf numFmtId="0" fontId="16" fillId="0" borderId="0" xfId="0" applyFont="1" applyAlignment="1">
      <alignment/>
    </xf>
    <xf numFmtId="0" fontId="20" fillId="0" borderId="0" xfId="0" applyFont="1" applyAlignment="1">
      <alignment/>
    </xf>
    <xf numFmtId="0" fontId="17" fillId="0" borderId="19" xfId="0" applyFont="1" applyFill="1" applyBorder="1" applyAlignment="1" applyProtection="1">
      <alignment horizontal="right"/>
      <protection hidden="1"/>
    </xf>
    <xf numFmtId="0" fontId="7" fillId="0" borderId="21" xfId="0" applyFont="1" applyFill="1" applyBorder="1" applyAlignment="1" applyProtection="1">
      <alignment horizontal="center"/>
      <protection locked="0"/>
    </xf>
    <xf numFmtId="172" fontId="7" fillId="0" borderId="15" xfId="0" applyNumberFormat="1" applyFont="1" applyFill="1" applyBorder="1" applyAlignment="1" applyProtection="1">
      <alignment horizontal="center"/>
      <protection locked="0"/>
    </xf>
    <xf numFmtId="0" fontId="7" fillId="33" borderId="10" xfId="0" applyFont="1" applyFill="1" applyBorder="1" applyAlignment="1" applyProtection="1">
      <alignment horizontal="center"/>
      <protection hidden="1"/>
    </xf>
    <xf numFmtId="0" fontId="7" fillId="33" borderId="0" xfId="0" applyFont="1" applyFill="1" applyBorder="1" applyAlignment="1" applyProtection="1">
      <alignment/>
      <protection hidden="1"/>
    </xf>
    <xf numFmtId="0" fontId="7" fillId="0" borderId="0" xfId="0" applyFont="1" applyBorder="1" applyAlignment="1" applyProtection="1">
      <alignment/>
      <protection hidden="1"/>
    </xf>
    <xf numFmtId="0" fontId="21" fillId="33" borderId="0" xfId="0" applyFont="1" applyFill="1" applyBorder="1" applyAlignment="1" applyProtection="1">
      <alignment horizontal="left"/>
      <protection hidden="1"/>
    </xf>
    <xf numFmtId="0" fontId="22" fillId="33" borderId="11" xfId="0" applyFont="1" applyFill="1" applyBorder="1" applyAlignment="1" applyProtection="1">
      <alignment horizontal="center"/>
      <protection hidden="1"/>
    </xf>
    <xf numFmtId="0" fontId="7" fillId="0" borderId="0" xfId="0" applyFont="1" applyAlignment="1" applyProtection="1">
      <alignment/>
      <protection hidden="1"/>
    </xf>
    <xf numFmtId="0" fontId="13" fillId="0" borderId="20" xfId="0" applyFont="1" applyBorder="1" applyAlignment="1" applyProtection="1">
      <alignment horizontal="right"/>
      <protection hidden="1"/>
    </xf>
    <xf numFmtId="0" fontId="0" fillId="0" borderId="0" xfId="0" applyAlignment="1">
      <alignment horizontal="left"/>
    </xf>
    <xf numFmtId="0" fontId="23" fillId="33" borderId="0" xfId="0" applyFont="1" applyFill="1" applyBorder="1" applyAlignment="1" applyProtection="1">
      <alignment horizontal="left"/>
      <protection hidden="1"/>
    </xf>
    <xf numFmtId="0" fontId="24" fillId="33" borderId="0" xfId="0" applyFont="1" applyFill="1" applyBorder="1" applyAlignment="1" applyProtection="1">
      <alignment/>
      <protection hidden="1"/>
    </xf>
    <xf numFmtId="0" fontId="2" fillId="33" borderId="0" xfId="0" applyFont="1" applyFill="1" applyBorder="1" applyAlignment="1" applyProtection="1">
      <alignment/>
      <protection hidden="1"/>
    </xf>
    <xf numFmtId="0" fontId="25" fillId="33" borderId="0" xfId="0" applyFont="1" applyFill="1" applyBorder="1" applyAlignment="1" applyProtection="1">
      <alignment horizontal="left"/>
      <protection hidden="1"/>
    </xf>
    <xf numFmtId="0" fontId="26" fillId="33" borderId="0" xfId="0" applyFont="1" applyFill="1" applyBorder="1" applyAlignment="1" applyProtection="1">
      <alignment horizontal="left"/>
      <protection hidden="1"/>
    </xf>
    <xf numFmtId="0" fontId="8" fillId="33" borderId="0" xfId="0" applyFont="1" applyFill="1" applyBorder="1" applyAlignment="1" applyProtection="1">
      <alignment/>
      <protection hidden="1"/>
    </xf>
    <xf numFmtId="0" fontId="32" fillId="34" borderId="13" xfId="0" applyFont="1" applyFill="1" applyBorder="1" applyAlignment="1" applyProtection="1">
      <alignment horizontal="right"/>
      <protection hidden="1"/>
    </xf>
    <xf numFmtId="0" fontId="33" fillId="33" borderId="13" xfId="0" applyFont="1" applyFill="1" applyBorder="1" applyAlignment="1" applyProtection="1">
      <alignment/>
      <protection hidden="1"/>
    </xf>
    <xf numFmtId="0" fontId="34" fillId="33" borderId="10" xfId="0" applyFont="1" applyFill="1" applyBorder="1" applyAlignment="1" applyProtection="1">
      <alignment horizontal="left"/>
      <protection hidden="1"/>
    </xf>
    <xf numFmtId="0" fontId="33" fillId="33" borderId="10" xfId="0" applyFont="1" applyFill="1" applyBorder="1" applyAlignment="1" applyProtection="1">
      <alignment/>
      <protection hidden="1"/>
    </xf>
    <xf numFmtId="0" fontId="33" fillId="33" borderId="22" xfId="0" applyFont="1" applyFill="1" applyBorder="1" applyAlignment="1" applyProtection="1">
      <alignment/>
      <protection hidden="1"/>
    </xf>
    <xf numFmtId="0" fontId="32" fillId="34" borderId="12" xfId="0" applyFont="1" applyFill="1" applyBorder="1" applyAlignment="1" applyProtection="1">
      <alignment horizontal="right"/>
      <protection hidden="1"/>
    </xf>
    <xf numFmtId="0" fontId="33" fillId="33" borderId="12" xfId="0" applyFont="1" applyFill="1" applyBorder="1" applyAlignment="1" applyProtection="1">
      <alignment/>
      <protection hidden="1"/>
    </xf>
    <xf numFmtId="0" fontId="34" fillId="33" borderId="0" xfId="0" applyFont="1" applyFill="1" applyBorder="1" applyAlignment="1" applyProtection="1">
      <alignment horizontal="left"/>
      <protection hidden="1"/>
    </xf>
    <xf numFmtId="0" fontId="33" fillId="33" borderId="0" xfId="0" applyFont="1" applyFill="1" applyBorder="1" applyAlignment="1" applyProtection="1">
      <alignment/>
      <protection hidden="1"/>
    </xf>
    <xf numFmtId="0" fontId="33" fillId="33" borderId="23" xfId="0" applyFont="1" applyFill="1" applyBorder="1" applyAlignment="1" applyProtection="1">
      <alignment/>
      <protection hidden="1"/>
    </xf>
    <xf numFmtId="0" fontId="35" fillId="34" borderId="0" xfId="0" applyFont="1" applyFill="1" applyBorder="1" applyAlignment="1" applyProtection="1">
      <alignment/>
      <protection hidden="1"/>
    </xf>
    <xf numFmtId="0" fontId="36" fillId="33" borderId="0" xfId="0" applyFont="1" applyFill="1" applyBorder="1" applyAlignment="1" applyProtection="1">
      <alignment horizontal="left"/>
      <protection hidden="1"/>
    </xf>
    <xf numFmtId="0" fontId="24" fillId="33" borderId="0" xfId="0" applyFont="1" applyFill="1" applyBorder="1" applyAlignment="1" applyProtection="1">
      <alignment horizontal="right"/>
      <protection hidden="1"/>
    </xf>
    <xf numFmtId="0" fontId="37" fillId="33" borderId="0" xfId="0" applyFont="1" applyFill="1" applyBorder="1" applyAlignment="1" applyProtection="1">
      <alignment horizontal="left"/>
      <protection hidden="1"/>
    </xf>
    <xf numFmtId="0" fontId="39" fillId="33" borderId="0" xfId="0" applyFont="1" applyFill="1" applyBorder="1" applyAlignment="1" applyProtection="1">
      <alignment horizontal="right"/>
      <protection hidden="1"/>
    </xf>
    <xf numFmtId="0" fontId="23" fillId="33" borderId="0" xfId="0" applyFont="1" applyFill="1" applyBorder="1" applyAlignment="1" applyProtection="1">
      <alignment horizontal="center"/>
      <protection hidden="1"/>
    </xf>
    <xf numFmtId="0" fontId="13" fillId="33" borderId="0" xfId="0" applyFont="1" applyFill="1" applyBorder="1" applyAlignment="1" applyProtection="1">
      <alignment horizontal="center"/>
      <protection hidden="1"/>
    </xf>
    <xf numFmtId="0" fontId="13" fillId="33" borderId="13" xfId="0" applyFont="1" applyFill="1" applyBorder="1" applyAlignment="1" applyProtection="1">
      <alignment horizontal="center"/>
      <protection hidden="1"/>
    </xf>
    <xf numFmtId="0" fontId="13" fillId="33" borderId="10" xfId="0" applyFont="1" applyFill="1" applyBorder="1" applyAlignment="1" applyProtection="1">
      <alignment horizontal="center"/>
      <protection hidden="1"/>
    </xf>
    <xf numFmtId="0" fontId="13" fillId="33" borderId="24" xfId="0" applyFont="1" applyFill="1" applyBorder="1" applyAlignment="1" applyProtection="1">
      <alignment/>
      <protection hidden="1"/>
    </xf>
    <xf numFmtId="0" fontId="13" fillId="33" borderId="25" xfId="0" applyFont="1" applyFill="1" applyBorder="1" applyAlignment="1" applyProtection="1">
      <alignment horizontal="center"/>
      <protection hidden="1"/>
    </xf>
    <xf numFmtId="0" fontId="13" fillId="33" borderId="26" xfId="0" applyFont="1" applyFill="1" applyBorder="1" applyAlignment="1" applyProtection="1">
      <alignment horizontal="left"/>
      <protection hidden="1"/>
    </xf>
    <xf numFmtId="0" fontId="13" fillId="33" borderId="13" xfId="0" applyFont="1" applyFill="1" applyBorder="1" applyAlignment="1" applyProtection="1">
      <alignment/>
      <protection hidden="1"/>
    </xf>
    <xf numFmtId="0" fontId="13" fillId="33" borderId="27" xfId="0" applyFont="1" applyFill="1" applyBorder="1" applyAlignment="1" applyProtection="1">
      <alignment/>
      <protection hidden="1"/>
    </xf>
    <xf numFmtId="0" fontId="13" fillId="33" borderId="12" xfId="0" applyFont="1" applyFill="1" applyBorder="1" applyAlignment="1" applyProtection="1">
      <alignment horizontal="center"/>
      <protection hidden="1"/>
    </xf>
    <xf numFmtId="0" fontId="13" fillId="33" borderId="28" xfId="0" applyFont="1" applyFill="1" applyBorder="1" applyAlignment="1" applyProtection="1">
      <alignment/>
      <protection hidden="1"/>
    </xf>
    <xf numFmtId="0" fontId="13" fillId="33" borderId="29" xfId="0" applyFont="1" applyFill="1" applyBorder="1" applyAlignment="1" applyProtection="1">
      <alignment horizontal="center"/>
      <protection hidden="1"/>
    </xf>
    <xf numFmtId="0" fontId="33" fillId="33" borderId="30" xfId="0" applyFont="1" applyFill="1" applyBorder="1" applyAlignment="1" applyProtection="1">
      <alignment/>
      <protection hidden="1"/>
    </xf>
    <xf numFmtId="0" fontId="13" fillId="33" borderId="18" xfId="0" applyFont="1" applyFill="1" applyBorder="1" applyAlignment="1" applyProtection="1">
      <alignment horizontal="center"/>
      <protection hidden="1"/>
    </xf>
    <xf numFmtId="0" fontId="13" fillId="33" borderId="11" xfId="0" applyFont="1" applyFill="1" applyBorder="1" applyAlignment="1" applyProtection="1">
      <alignment horizontal="center"/>
      <protection hidden="1"/>
    </xf>
    <xf numFmtId="0" fontId="13" fillId="33" borderId="31" xfId="0" applyFont="1" applyFill="1" applyBorder="1" applyAlignment="1" applyProtection="1">
      <alignment/>
      <protection hidden="1"/>
    </xf>
    <xf numFmtId="0" fontId="13" fillId="33" borderId="32" xfId="0" applyFont="1" applyFill="1" applyBorder="1" applyAlignment="1" applyProtection="1">
      <alignment horizontal="center"/>
      <protection hidden="1"/>
    </xf>
    <xf numFmtId="0" fontId="13" fillId="33" borderId="18" xfId="0" applyFont="1" applyFill="1" applyBorder="1" applyAlignment="1" applyProtection="1">
      <alignment/>
      <protection hidden="1"/>
    </xf>
    <xf numFmtId="0" fontId="33" fillId="33" borderId="12" xfId="0" applyFont="1" applyFill="1" applyBorder="1" applyAlignment="1" applyProtection="1">
      <alignment horizontal="left"/>
      <protection hidden="1"/>
    </xf>
    <xf numFmtId="0" fontId="17" fillId="0" borderId="28" xfId="0" applyFont="1" applyFill="1" applyBorder="1" applyAlignment="1" applyProtection="1">
      <alignment/>
      <protection hidden="1"/>
    </xf>
    <xf numFmtId="0" fontId="8" fillId="0" borderId="20"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40" fillId="0" borderId="33" xfId="0" applyFont="1" applyFill="1" applyBorder="1" applyAlignment="1" applyProtection="1">
      <alignment horizontal="center"/>
      <protection hidden="1"/>
    </xf>
    <xf numFmtId="172" fontId="41" fillId="0" borderId="30" xfId="0" applyNumberFormat="1" applyFont="1" applyFill="1" applyBorder="1" applyAlignment="1" applyProtection="1">
      <alignment horizontal="left"/>
      <protection hidden="1"/>
    </xf>
    <xf numFmtId="0" fontId="17" fillId="0" borderId="34" xfId="0" applyFont="1" applyFill="1" applyBorder="1" applyAlignment="1" applyProtection="1">
      <alignment/>
      <protection hidden="1"/>
    </xf>
    <xf numFmtId="0" fontId="8" fillId="0" borderId="19" xfId="0" applyFont="1" applyFill="1" applyBorder="1" applyAlignment="1" applyProtection="1">
      <alignment horizontal="center"/>
      <protection hidden="1"/>
    </xf>
    <xf numFmtId="0" fontId="8" fillId="0" borderId="35" xfId="0" applyFont="1" applyFill="1" applyBorder="1" applyAlignment="1" applyProtection="1">
      <alignment horizontal="center"/>
      <protection hidden="1"/>
    </xf>
    <xf numFmtId="0" fontId="40" fillId="0" borderId="36" xfId="0" applyFont="1" applyFill="1" applyBorder="1" applyAlignment="1" applyProtection="1">
      <alignment horizontal="center"/>
      <protection hidden="1"/>
    </xf>
    <xf numFmtId="172" fontId="41" fillId="0" borderId="37" xfId="0" applyNumberFormat="1" applyFont="1" applyFill="1" applyBorder="1" applyAlignment="1" applyProtection="1">
      <alignment horizontal="left"/>
      <protection hidden="1"/>
    </xf>
    <xf numFmtId="0" fontId="33" fillId="33" borderId="38" xfId="0" applyFont="1" applyFill="1" applyBorder="1" applyAlignment="1" applyProtection="1">
      <alignment/>
      <protection hidden="1"/>
    </xf>
    <xf numFmtId="0" fontId="33" fillId="33" borderId="39" xfId="0" applyFont="1" applyFill="1" applyBorder="1" applyAlignment="1" applyProtection="1">
      <alignment/>
      <protection hidden="1"/>
    </xf>
    <xf numFmtId="0" fontId="33" fillId="34" borderId="0" xfId="0" applyFont="1" applyFill="1" applyBorder="1" applyAlignment="1" applyProtection="1">
      <alignment/>
      <protection hidden="1"/>
    </xf>
    <xf numFmtId="0" fontId="13" fillId="34" borderId="0" xfId="0" applyFont="1" applyFill="1" applyBorder="1" applyAlignment="1" applyProtection="1">
      <alignment horizontal="center"/>
      <protection hidden="1"/>
    </xf>
    <xf numFmtId="0" fontId="42" fillId="34" borderId="12" xfId="0" applyFont="1" applyFill="1" applyBorder="1" applyAlignment="1" applyProtection="1">
      <alignment horizontal="right"/>
      <protection hidden="1"/>
    </xf>
    <xf numFmtId="0" fontId="43" fillId="34" borderId="0" xfId="0" applyFont="1" applyFill="1" applyBorder="1" applyAlignment="1" applyProtection="1">
      <alignment horizontal="center"/>
      <protection hidden="1"/>
    </xf>
    <xf numFmtId="0" fontId="44" fillId="34" borderId="12" xfId="0" applyFont="1" applyFill="1" applyBorder="1" applyAlignment="1" applyProtection="1">
      <alignment horizontal="right"/>
      <protection hidden="1"/>
    </xf>
    <xf numFmtId="0" fontId="32" fillId="34" borderId="0" xfId="0" applyFont="1" applyFill="1" applyBorder="1" applyAlignment="1" applyProtection="1">
      <alignment/>
      <protection hidden="1"/>
    </xf>
    <xf numFmtId="0" fontId="32" fillId="34" borderId="12" xfId="0" applyFont="1" applyFill="1" applyBorder="1" applyAlignment="1" applyProtection="1">
      <alignment/>
      <protection hidden="1"/>
    </xf>
    <xf numFmtId="0" fontId="32" fillId="34" borderId="38" xfId="0" applyFont="1" applyFill="1" applyBorder="1" applyAlignment="1" applyProtection="1">
      <alignment/>
      <protection hidden="1"/>
    </xf>
    <xf numFmtId="0" fontId="32" fillId="34" borderId="40" xfId="0" applyFont="1" applyFill="1" applyBorder="1" applyAlignment="1" applyProtection="1">
      <alignment/>
      <protection hidden="1"/>
    </xf>
    <xf numFmtId="0" fontId="33" fillId="34" borderId="10" xfId="0" applyFont="1" applyFill="1" applyBorder="1" applyAlignment="1" applyProtection="1">
      <alignment/>
      <protection hidden="1"/>
    </xf>
    <xf numFmtId="0" fontId="40" fillId="0" borderId="0" xfId="0" applyFont="1" applyFill="1" applyBorder="1" applyAlignment="1" applyProtection="1">
      <alignment horizontal="center"/>
      <protection hidden="1"/>
    </xf>
    <xf numFmtId="0" fontId="40" fillId="0" borderId="40" xfId="0" applyFont="1" applyFill="1" applyBorder="1" applyAlignment="1" applyProtection="1">
      <alignment horizontal="center"/>
      <protection hidden="1"/>
    </xf>
    <xf numFmtId="0" fontId="41" fillId="0" borderId="12" xfId="0" applyFont="1" applyFill="1" applyBorder="1" applyAlignment="1" applyProtection="1">
      <alignment horizontal="left"/>
      <protection hidden="1"/>
    </xf>
    <xf numFmtId="0" fontId="41" fillId="0" borderId="38" xfId="0" applyFont="1" applyFill="1" applyBorder="1" applyAlignment="1" applyProtection="1">
      <alignment horizontal="left"/>
      <protection hidden="1"/>
    </xf>
    <xf numFmtId="0" fontId="24" fillId="33" borderId="0" xfId="0" applyFont="1" applyFill="1" applyBorder="1" applyAlignment="1" applyProtection="1">
      <alignment horizontal="right" wrapText="1"/>
      <protection/>
    </xf>
    <xf numFmtId="0" fontId="0" fillId="35" borderId="41" xfId="0" applyFill="1" applyBorder="1" applyAlignment="1">
      <alignment/>
    </xf>
    <xf numFmtId="0" fontId="47" fillId="35" borderId="41" xfId="0" applyFont="1" applyFill="1" applyBorder="1" applyAlignment="1">
      <alignment/>
    </xf>
    <xf numFmtId="0" fontId="23" fillId="33" borderId="0" xfId="0" applyFont="1" applyFill="1" applyBorder="1" applyAlignment="1" applyProtection="1">
      <alignment horizontal="right" wrapText="1"/>
      <protection/>
    </xf>
    <xf numFmtId="0" fontId="0" fillId="0" borderId="0" xfId="0" applyNumberFormat="1" applyAlignment="1">
      <alignment/>
    </xf>
    <xf numFmtId="0" fontId="49" fillId="36" borderId="42" xfId="0" applyNumberFormat="1" applyFont="1" applyFill="1" applyBorder="1" applyAlignment="1">
      <alignment horizontal="left"/>
    </xf>
    <xf numFmtId="0" fontId="45" fillId="36" borderId="42" xfId="0" applyNumberFormat="1" applyFont="1" applyFill="1" applyBorder="1" applyAlignment="1" applyProtection="1">
      <alignment horizontal="left"/>
      <protection/>
    </xf>
    <xf numFmtId="0" fontId="54" fillId="0" borderId="0" xfId="0" applyFont="1" applyAlignment="1">
      <alignment/>
    </xf>
    <xf numFmtId="0" fontId="50" fillId="37" borderId="42" xfId="0" applyFont="1" applyFill="1" applyBorder="1" applyAlignment="1">
      <alignment horizontal="center"/>
    </xf>
    <xf numFmtId="0" fontId="27" fillId="33" borderId="0" xfId="0" applyFont="1" applyFill="1" applyBorder="1" applyAlignment="1" applyProtection="1">
      <alignment horizontal="right" wrapText="1"/>
      <protection/>
    </xf>
    <xf numFmtId="0" fontId="7" fillId="0" borderId="0" xfId="0" applyFont="1" applyFill="1" applyBorder="1" applyAlignment="1">
      <alignment horizontal="left" wrapText="1"/>
    </xf>
    <xf numFmtId="0" fontId="59" fillId="33" borderId="0" xfId="0" applyFont="1" applyFill="1" applyBorder="1" applyAlignment="1" applyProtection="1">
      <alignment horizontal="center" vertical="center" wrapText="1"/>
      <protection/>
    </xf>
    <xf numFmtId="0" fontId="13" fillId="0" borderId="38" xfId="0" applyFont="1" applyBorder="1" applyAlignment="1">
      <alignment horizontal="left" wrapText="1"/>
    </xf>
    <xf numFmtId="0" fontId="13" fillId="0" borderId="40" xfId="0" applyFont="1" applyBorder="1" applyAlignment="1">
      <alignment horizontal="left" wrapText="1"/>
    </xf>
    <xf numFmtId="0" fontId="13" fillId="0" borderId="39" xfId="0" applyFont="1" applyBorder="1" applyAlignment="1">
      <alignment horizontal="left" wrapText="1"/>
    </xf>
    <xf numFmtId="0" fontId="0" fillId="0" borderId="0" xfId="0" applyNumberFormat="1" applyAlignment="1">
      <alignment horizontal="left"/>
    </xf>
    <xf numFmtId="0" fontId="0" fillId="0" borderId="0" xfId="0" applyNumberFormat="1" applyFill="1" applyBorder="1" applyAlignment="1">
      <alignment horizontal="left"/>
    </xf>
    <xf numFmtId="0" fontId="45" fillId="0" borderId="43" xfId="0" applyNumberFormat="1" applyFont="1" applyBorder="1" applyAlignment="1">
      <alignment horizontal="left"/>
    </xf>
    <xf numFmtId="0" fontId="45" fillId="0" borderId="42" xfId="0" applyNumberFormat="1" applyFont="1" applyBorder="1" applyAlignment="1" applyProtection="1">
      <alignment horizontal="left"/>
      <protection/>
    </xf>
    <xf numFmtId="0" fontId="0" fillId="0" borderId="0" xfId="0" applyNumberFormat="1" applyBorder="1" applyAlignment="1" applyProtection="1">
      <alignment horizontal="left"/>
      <protection/>
    </xf>
    <xf numFmtId="0" fontId="45" fillId="0" borderId="29" xfId="0" applyNumberFormat="1" applyFont="1" applyBorder="1" applyAlignment="1">
      <alignment horizontal="left"/>
    </xf>
    <xf numFmtId="0" fontId="45" fillId="0" borderId="0" xfId="0" applyNumberFormat="1" applyFont="1" applyBorder="1" applyAlignment="1" applyProtection="1">
      <alignment horizontal="left"/>
      <protection/>
    </xf>
    <xf numFmtId="0" fontId="0" fillId="0" borderId="29" xfId="0" applyBorder="1" applyAlignment="1">
      <alignment/>
    </xf>
    <xf numFmtId="0" fontId="0" fillId="37" borderId="44" xfId="0" applyFill="1" applyBorder="1" applyAlignment="1">
      <alignment/>
    </xf>
    <xf numFmtId="172" fontId="13" fillId="0" borderId="11" xfId="0" applyNumberFormat="1" applyFont="1" applyFill="1" applyBorder="1" applyAlignment="1" applyProtection="1">
      <alignment horizontal="center" wrapText="1"/>
      <protection/>
    </xf>
    <xf numFmtId="0" fontId="13" fillId="0" borderId="11" xfId="0" applyFont="1" applyFill="1" applyBorder="1" applyAlignment="1" applyProtection="1">
      <alignment horizontal="left" wrapText="1"/>
      <protection/>
    </xf>
    <xf numFmtId="0" fontId="13" fillId="0" borderId="0" xfId="0" applyFont="1" applyFill="1" applyBorder="1" applyAlignment="1" applyProtection="1">
      <alignment horizontal="left" wrapText="1"/>
      <protection/>
    </xf>
    <xf numFmtId="0" fontId="7" fillId="0" borderId="29" xfId="0" applyFont="1" applyFill="1" applyBorder="1" applyAlignment="1">
      <alignment horizontal="left" wrapText="1"/>
    </xf>
    <xf numFmtId="0" fontId="33" fillId="0" borderId="43" xfId="0" applyFont="1" applyFill="1" applyBorder="1" applyAlignment="1" applyProtection="1">
      <alignment horizontal="center"/>
      <protection/>
    </xf>
    <xf numFmtId="0" fontId="33" fillId="0" borderId="42" xfId="0" applyFont="1" applyFill="1" applyBorder="1" applyAlignment="1" applyProtection="1">
      <alignment horizontal="center"/>
      <protection/>
    </xf>
    <xf numFmtId="0" fontId="45" fillId="0" borderId="11" xfId="0" applyNumberFormat="1" applyFont="1" applyBorder="1" applyAlignment="1" applyProtection="1">
      <alignment horizontal="left"/>
      <protection/>
    </xf>
    <xf numFmtId="0" fontId="13" fillId="0" borderId="40" xfId="0" applyFont="1" applyFill="1" applyBorder="1" applyAlignment="1" applyProtection="1">
      <alignment horizontal="left" wrapText="1"/>
      <protection/>
    </xf>
    <xf numFmtId="0" fontId="13" fillId="0" borderId="39" xfId="0" applyFont="1" applyFill="1" applyBorder="1" applyAlignment="1" applyProtection="1">
      <alignment horizontal="left" wrapText="1"/>
      <protection/>
    </xf>
    <xf numFmtId="0" fontId="56" fillId="0" borderId="40" xfId="0" applyFont="1" applyFill="1" applyBorder="1" applyAlignment="1" applyProtection="1">
      <alignment horizontal="left" wrapText="1"/>
      <protection/>
    </xf>
    <xf numFmtId="0" fontId="13" fillId="0" borderId="40" xfId="0" applyFont="1" applyFill="1" applyBorder="1" applyAlignment="1" applyProtection="1">
      <alignment horizontal="left" wrapText="1"/>
      <protection/>
    </xf>
    <xf numFmtId="0" fontId="13" fillId="0" borderId="39" xfId="0" applyFont="1" applyFill="1" applyBorder="1" applyAlignment="1" applyProtection="1">
      <alignment horizontal="left" wrapText="1"/>
      <protection/>
    </xf>
    <xf numFmtId="0" fontId="13" fillId="0" borderId="38" xfId="0" applyFont="1" applyFill="1" applyBorder="1" applyAlignment="1" applyProtection="1">
      <alignment horizontal="left" wrapText="1"/>
      <protection/>
    </xf>
    <xf numFmtId="0" fontId="0" fillId="35" borderId="45" xfId="0" applyFill="1" applyBorder="1" applyAlignment="1">
      <alignment/>
    </xf>
    <xf numFmtId="0" fontId="13" fillId="0" borderId="42" xfId="0" applyFont="1" applyFill="1" applyBorder="1" applyAlignment="1" applyProtection="1">
      <alignment horizontal="center" wrapText="1"/>
      <protection/>
    </xf>
    <xf numFmtId="0" fontId="56" fillId="0" borderId="42" xfId="0" applyFont="1" applyFill="1" applyBorder="1" applyAlignment="1" applyProtection="1">
      <alignment horizontal="center" wrapText="1"/>
      <protection/>
    </xf>
    <xf numFmtId="0" fontId="13" fillId="0" borderId="42" xfId="0" applyFont="1" applyFill="1" applyBorder="1" applyAlignment="1" applyProtection="1">
      <alignment horizontal="center"/>
      <protection/>
    </xf>
    <xf numFmtId="0" fontId="56" fillId="0" borderId="42" xfId="0" applyFont="1" applyFill="1" applyBorder="1" applyAlignment="1" applyProtection="1">
      <alignment horizontal="center"/>
      <protection/>
    </xf>
    <xf numFmtId="0" fontId="55" fillId="0" borderId="42" xfId="0" applyFont="1" applyFill="1" applyBorder="1" applyAlignment="1" applyProtection="1">
      <alignment horizontal="center"/>
      <protection/>
    </xf>
    <xf numFmtId="0" fontId="57" fillId="0" borderId="42" xfId="0" applyFont="1" applyFill="1" applyBorder="1" applyAlignment="1" applyProtection="1">
      <alignment horizontal="center"/>
      <protection/>
    </xf>
    <xf numFmtId="0" fontId="13" fillId="0" borderId="46" xfId="0" applyFont="1" applyFill="1" applyBorder="1" applyAlignment="1" applyProtection="1">
      <alignment horizontal="center" wrapText="1"/>
      <protection/>
    </xf>
    <xf numFmtId="0" fontId="13" fillId="0" borderId="47" xfId="0" applyFont="1" applyFill="1" applyBorder="1" applyAlignment="1" applyProtection="1">
      <alignment horizontal="center"/>
      <protection/>
    </xf>
    <xf numFmtId="0" fontId="13" fillId="0" borderId="38" xfId="0" applyFont="1" applyFill="1" applyBorder="1" applyAlignment="1" applyProtection="1">
      <alignment horizontal="left" wrapText="1"/>
      <protection/>
    </xf>
    <xf numFmtId="0" fontId="56" fillId="0" borderId="40" xfId="0" applyFont="1" applyFill="1" applyBorder="1" applyAlignment="1" applyProtection="1">
      <alignment horizontal="left" wrapText="1"/>
      <protection/>
    </xf>
    <xf numFmtId="0" fontId="45" fillId="36" borderId="13" xfId="0" applyNumberFormat="1" applyFont="1" applyFill="1" applyBorder="1" applyAlignment="1" applyProtection="1">
      <alignment horizontal="left"/>
      <protection/>
    </xf>
    <xf numFmtId="0" fontId="52" fillId="36" borderId="10" xfId="0" applyNumberFormat="1" applyFont="1" applyFill="1" applyBorder="1" applyAlignment="1" applyProtection="1">
      <alignment horizontal="left"/>
      <protection/>
    </xf>
    <xf numFmtId="0" fontId="45" fillId="36" borderId="22" xfId="0" applyNumberFormat="1" applyFont="1" applyFill="1" applyBorder="1" applyAlignment="1" applyProtection="1">
      <alignment horizontal="left"/>
      <protection/>
    </xf>
    <xf numFmtId="0" fontId="45" fillId="36" borderId="10" xfId="0" applyNumberFormat="1" applyFont="1" applyFill="1" applyBorder="1" applyAlignment="1" applyProtection="1">
      <alignment horizontal="left"/>
      <protection/>
    </xf>
    <xf numFmtId="0" fontId="51" fillId="36" borderId="10" xfId="0" applyNumberFormat="1" applyFont="1" applyFill="1" applyBorder="1" applyAlignment="1" applyProtection="1">
      <alignment horizontal="left"/>
      <protection/>
    </xf>
    <xf numFmtId="1" fontId="45" fillId="36" borderId="10" xfId="0" applyNumberFormat="1" applyFont="1" applyFill="1" applyBorder="1" applyAlignment="1" applyProtection="1">
      <alignment horizontal="left"/>
      <protection/>
    </xf>
    <xf numFmtId="0" fontId="13" fillId="0" borderId="46" xfId="0" applyFont="1" applyFill="1" applyBorder="1" applyAlignment="1" applyProtection="1">
      <alignment horizontal="center"/>
      <protection/>
    </xf>
    <xf numFmtId="0" fontId="55" fillId="0" borderId="40" xfId="0" applyFont="1" applyFill="1" applyBorder="1" applyAlignment="1" applyProtection="1">
      <alignment horizontal="left" wrapText="1"/>
      <protection/>
    </xf>
    <xf numFmtId="0" fontId="0" fillId="36" borderId="10" xfId="0" applyNumberFormat="1" applyFont="1" applyFill="1" applyBorder="1" applyAlignment="1" applyProtection="1">
      <alignment horizontal="left"/>
      <protection/>
    </xf>
    <xf numFmtId="0" fontId="53" fillId="36" borderId="10" xfId="0" applyNumberFormat="1" applyFont="1" applyFill="1" applyBorder="1" applyAlignment="1" applyProtection="1">
      <alignment horizontal="left"/>
      <protection/>
    </xf>
    <xf numFmtId="1" fontId="45" fillId="36" borderId="22" xfId="0" applyNumberFormat="1" applyFont="1" applyFill="1" applyBorder="1" applyAlignment="1" applyProtection="1">
      <alignment horizontal="left"/>
      <protection/>
    </xf>
    <xf numFmtId="0" fontId="57" fillId="0" borderId="40" xfId="0" applyFont="1" applyFill="1" applyBorder="1" applyAlignment="1" applyProtection="1">
      <alignment horizontal="left" wrapText="1"/>
      <protection/>
    </xf>
    <xf numFmtId="0" fontId="45" fillId="0" borderId="48" xfId="0" applyNumberFormat="1" applyFont="1" applyBorder="1" applyAlignment="1" applyProtection="1">
      <alignment horizontal="left"/>
      <protection/>
    </xf>
    <xf numFmtId="0" fontId="45" fillId="0" borderId="23" xfId="0" applyNumberFormat="1" applyFont="1" applyBorder="1" applyAlignment="1" applyProtection="1">
      <alignment horizontal="left"/>
      <protection/>
    </xf>
    <xf numFmtId="0" fontId="13" fillId="0" borderId="36" xfId="0" applyFont="1" applyBorder="1" applyAlignment="1">
      <alignment horizontal="left" wrapText="1"/>
    </xf>
    <xf numFmtId="0" fontId="0" fillId="33" borderId="10" xfId="0" applyFill="1" applyBorder="1" applyAlignment="1" applyProtection="1">
      <alignment/>
      <protection hidden="1"/>
    </xf>
    <xf numFmtId="0" fontId="0" fillId="33" borderId="22" xfId="0" applyFill="1" applyBorder="1" applyAlignment="1" applyProtection="1">
      <alignment/>
      <protection hidden="1"/>
    </xf>
    <xf numFmtId="0" fontId="0" fillId="33" borderId="12" xfId="0" applyFill="1" applyBorder="1" applyAlignment="1" applyProtection="1">
      <alignment/>
      <protection hidden="1"/>
    </xf>
    <xf numFmtId="0" fontId="0" fillId="33" borderId="23" xfId="0" applyFill="1" applyBorder="1" applyAlignment="1" applyProtection="1">
      <alignment/>
      <protection hidden="1"/>
    </xf>
    <xf numFmtId="0" fontId="0" fillId="33" borderId="38" xfId="0" applyFill="1" applyBorder="1" applyAlignment="1" applyProtection="1">
      <alignment/>
      <protection hidden="1"/>
    </xf>
    <xf numFmtId="0" fontId="0" fillId="33" borderId="40" xfId="0" applyFill="1" applyBorder="1" applyAlignment="1" applyProtection="1">
      <alignment/>
      <protection hidden="1"/>
    </xf>
    <xf numFmtId="0" fontId="7" fillId="33" borderId="40" xfId="0" applyFont="1" applyFill="1" applyBorder="1" applyAlignment="1" applyProtection="1">
      <alignment/>
      <protection hidden="1"/>
    </xf>
    <xf numFmtId="0" fontId="94" fillId="33" borderId="0" xfId="0" applyFont="1" applyFill="1" applyBorder="1" applyAlignment="1" applyProtection="1">
      <alignment horizontal="left"/>
      <protection locked="0"/>
    </xf>
    <xf numFmtId="0" fontId="100" fillId="33" borderId="0" xfId="0" applyFont="1" applyFill="1" applyBorder="1" applyAlignment="1" applyProtection="1">
      <alignment horizontal="right"/>
      <protection locked="0"/>
    </xf>
    <xf numFmtId="0" fontId="41" fillId="33" borderId="0" xfId="0" applyFont="1" applyFill="1" applyBorder="1" applyAlignment="1" applyProtection="1">
      <alignment horizontal="left"/>
      <protection locked="0"/>
    </xf>
    <xf numFmtId="0" fontId="75" fillId="33" borderId="0" xfId="0" applyFont="1" applyFill="1" applyBorder="1" applyAlignment="1" applyProtection="1">
      <alignment/>
      <protection locked="0"/>
    </xf>
    <xf numFmtId="0" fontId="23" fillId="33" borderId="0" xfId="0" applyFont="1" applyFill="1" applyBorder="1" applyAlignment="1" applyProtection="1">
      <alignment horizontal="left"/>
      <protection locked="0"/>
    </xf>
    <xf numFmtId="0" fontId="0" fillId="0" borderId="0" xfId="0" applyAlignment="1" applyProtection="1">
      <alignment/>
      <protection locked="0"/>
    </xf>
    <xf numFmtId="0" fontId="28" fillId="33" borderId="0" xfId="0" applyFont="1" applyFill="1" applyBorder="1" applyAlignment="1" applyProtection="1">
      <alignment horizontal="center"/>
      <protection locked="0"/>
    </xf>
    <xf numFmtId="0" fontId="23" fillId="38" borderId="23" xfId="0" applyFont="1" applyFill="1" applyBorder="1" applyAlignment="1" applyProtection="1">
      <alignment horizontal="left"/>
      <protection hidden="1"/>
    </xf>
    <xf numFmtId="0" fontId="29" fillId="33" borderId="40" xfId="0" applyFont="1" applyFill="1" applyBorder="1" applyAlignment="1" applyProtection="1">
      <alignment/>
      <protection hidden="1"/>
    </xf>
    <xf numFmtId="0" fontId="0" fillId="33" borderId="39" xfId="0" applyFill="1" applyBorder="1" applyAlignment="1" applyProtection="1">
      <alignment/>
      <protection hidden="1"/>
    </xf>
    <xf numFmtId="0" fontId="65" fillId="33" borderId="23" xfId="0" applyFont="1" applyFill="1" applyBorder="1" applyAlignment="1" applyProtection="1">
      <alignment/>
      <protection locked="0"/>
    </xf>
    <xf numFmtId="0" fontId="23" fillId="33" borderId="0" xfId="0" applyFont="1" applyFill="1" applyBorder="1" applyAlignment="1" applyProtection="1">
      <alignment/>
      <protection locked="0"/>
    </xf>
    <xf numFmtId="0" fontId="94" fillId="33" borderId="0" xfId="0" applyFont="1" applyFill="1" applyBorder="1" applyAlignment="1" applyProtection="1">
      <alignment/>
      <protection locked="0"/>
    </xf>
    <xf numFmtId="0" fontId="94" fillId="33" borderId="0" xfId="0" applyFont="1" applyFill="1" applyBorder="1" applyAlignment="1" applyProtection="1">
      <alignment horizontal="center"/>
      <protection locked="0"/>
    </xf>
    <xf numFmtId="0" fontId="7" fillId="33" borderId="12" xfId="0" applyFont="1" applyFill="1" applyBorder="1" applyAlignment="1" applyProtection="1">
      <alignment/>
      <protection hidden="1"/>
    </xf>
    <xf numFmtId="0" fontId="94" fillId="33" borderId="0" xfId="0" applyFont="1" applyFill="1" applyBorder="1" applyAlignment="1" applyProtection="1">
      <alignment horizontal="left"/>
      <protection hidden="1"/>
    </xf>
    <xf numFmtId="0" fontId="94" fillId="33" borderId="0" xfId="0" applyFont="1" applyFill="1" applyBorder="1" applyAlignment="1" applyProtection="1">
      <alignment/>
      <protection hidden="1"/>
    </xf>
    <xf numFmtId="0" fontId="95" fillId="33" borderId="0" xfId="0" applyFont="1" applyFill="1" applyBorder="1" applyAlignment="1" applyProtection="1">
      <alignment/>
      <protection hidden="1"/>
    </xf>
    <xf numFmtId="0" fontId="95" fillId="33" borderId="0" xfId="0" applyFont="1" applyFill="1" applyBorder="1" applyAlignment="1" applyProtection="1">
      <alignment horizontal="right"/>
      <protection hidden="1"/>
    </xf>
    <xf numFmtId="0" fontId="97" fillId="33" borderId="0" xfId="0" applyFont="1" applyFill="1" applyBorder="1" applyAlignment="1" applyProtection="1">
      <alignment horizontal="center"/>
      <protection hidden="1"/>
    </xf>
    <xf numFmtId="49" fontId="95" fillId="33" borderId="0" xfId="0" applyNumberFormat="1" applyFont="1" applyFill="1" applyBorder="1" applyAlignment="1" applyProtection="1">
      <alignment horizontal="left"/>
      <protection hidden="1"/>
    </xf>
    <xf numFmtId="0" fontId="94" fillId="33" borderId="0" xfId="0" applyFont="1" applyFill="1" applyBorder="1" applyAlignment="1" applyProtection="1">
      <alignment horizontal="center"/>
      <protection hidden="1"/>
    </xf>
    <xf numFmtId="0" fontId="98" fillId="33" borderId="0" xfId="0" applyFont="1" applyFill="1" applyBorder="1" applyAlignment="1" applyProtection="1">
      <alignment/>
      <protection hidden="1"/>
    </xf>
    <xf numFmtId="0" fontId="0" fillId="0" borderId="0" xfId="0" applyBorder="1" applyAlignment="1" applyProtection="1">
      <alignment/>
      <protection hidden="1"/>
    </xf>
    <xf numFmtId="0" fontId="94" fillId="33" borderId="0" xfId="0" applyFont="1" applyFill="1" applyBorder="1" applyAlignment="1" applyProtection="1">
      <alignment/>
      <protection hidden="1"/>
    </xf>
    <xf numFmtId="0" fontId="65" fillId="33" borderId="23" xfId="0" applyFont="1" applyFill="1" applyBorder="1" applyAlignment="1" applyProtection="1">
      <alignment/>
      <protection hidden="1"/>
    </xf>
    <xf numFmtId="0" fontId="47" fillId="35" borderId="49" xfId="0" applyFont="1" applyFill="1" applyBorder="1" applyAlignment="1" applyProtection="1">
      <alignment/>
      <protection locked="0"/>
    </xf>
    <xf numFmtId="0" fontId="0" fillId="35" borderId="41" xfId="0" applyFill="1" applyBorder="1" applyAlignment="1" applyProtection="1">
      <alignment/>
      <protection locked="0"/>
    </xf>
    <xf numFmtId="0" fontId="0" fillId="35" borderId="45" xfId="0" applyFill="1" applyBorder="1" applyAlignment="1" applyProtection="1">
      <alignment/>
      <protection locked="0"/>
    </xf>
    <xf numFmtId="0" fontId="23" fillId="33" borderId="12" xfId="0" applyFont="1" applyFill="1" applyBorder="1" applyAlignment="1" applyProtection="1">
      <alignment/>
      <protection locked="0"/>
    </xf>
    <xf numFmtId="0" fontId="26" fillId="33" borderId="0" xfId="0" applyFont="1" applyFill="1" applyBorder="1" applyAlignment="1" applyProtection="1">
      <alignment horizontal="center"/>
      <protection locked="0"/>
    </xf>
    <xf numFmtId="0" fontId="26" fillId="33" borderId="0" xfId="0" applyFont="1" applyFill="1" applyBorder="1" applyAlignment="1" applyProtection="1">
      <alignment horizontal="left"/>
      <protection locked="0"/>
    </xf>
    <xf numFmtId="0" fontId="94" fillId="33" borderId="23" xfId="0" applyFont="1" applyFill="1" applyBorder="1" applyAlignment="1" applyProtection="1">
      <alignment/>
      <protection locked="0"/>
    </xf>
    <xf numFmtId="49" fontId="102" fillId="33" borderId="50" xfId="0" applyNumberFormat="1" applyFont="1" applyFill="1" applyBorder="1" applyAlignment="1" applyProtection="1">
      <alignment horizontal="left"/>
      <protection locked="0"/>
    </xf>
    <xf numFmtId="0" fontId="24" fillId="33" borderId="51" xfId="0" applyFont="1" applyFill="1" applyBorder="1" applyAlignment="1" applyProtection="1">
      <alignment horizontal="left"/>
      <protection locked="0"/>
    </xf>
    <xf numFmtId="0" fontId="94" fillId="33" borderId="51" xfId="0" applyFont="1" applyFill="1" applyBorder="1" applyAlignment="1" applyProtection="1">
      <alignment horizontal="left"/>
      <protection locked="0"/>
    </xf>
    <xf numFmtId="0" fontId="37" fillId="33" borderId="51" xfId="0" applyFont="1" applyFill="1" applyBorder="1" applyAlignment="1" applyProtection="1">
      <alignment/>
      <protection locked="0"/>
    </xf>
    <xf numFmtId="49" fontId="37" fillId="33" borderId="51" xfId="0" applyNumberFormat="1" applyFont="1" applyFill="1" applyBorder="1" applyAlignment="1" applyProtection="1">
      <alignment horizontal="right"/>
      <protection locked="0"/>
    </xf>
    <xf numFmtId="0" fontId="37" fillId="33" borderId="51" xfId="0" applyFont="1" applyFill="1" applyBorder="1" applyAlignment="1" applyProtection="1">
      <alignment horizontal="right"/>
      <protection locked="0"/>
    </xf>
    <xf numFmtId="0" fontId="37" fillId="33" borderId="51" xfId="0" applyFont="1" applyFill="1" applyBorder="1" applyAlignment="1" applyProtection="1">
      <alignment horizontal="center"/>
      <protection locked="0"/>
    </xf>
    <xf numFmtId="0" fontId="37" fillId="33" borderId="51" xfId="0" applyFont="1" applyFill="1" applyBorder="1" applyAlignment="1" applyProtection="1">
      <alignment horizontal="left"/>
      <protection locked="0"/>
    </xf>
    <xf numFmtId="2" fontId="37" fillId="33" borderId="51" xfId="0" applyNumberFormat="1" applyFont="1" applyFill="1" applyBorder="1" applyAlignment="1" applyProtection="1">
      <alignment horizontal="center"/>
      <protection locked="0"/>
    </xf>
    <xf numFmtId="49" fontId="92" fillId="33" borderId="51" xfId="0" applyNumberFormat="1" applyFont="1" applyFill="1" applyBorder="1" applyAlignment="1" applyProtection="1">
      <alignment horizontal="right"/>
      <protection locked="0"/>
    </xf>
    <xf numFmtId="0" fontId="37" fillId="33" borderId="51" xfId="0" applyNumberFormat="1" applyFont="1" applyFill="1" applyBorder="1" applyAlignment="1" applyProtection="1">
      <alignment horizontal="center"/>
      <protection locked="0"/>
    </xf>
    <xf numFmtId="0" fontId="65" fillId="33" borderId="51" xfId="0" applyFont="1" applyFill="1" applyBorder="1" applyAlignment="1" applyProtection="1">
      <alignment/>
      <protection locked="0"/>
    </xf>
    <xf numFmtId="0" fontId="104" fillId="33" borderId="51" xfId="0" applyFont="1" applyFill="1" applyBorder="1" applyAlignment="1" applyProtection="1">
      <alignment horizontal="right"/>
      <protection locked="0"/>
    </xf>
    <xf numFmtId="0" fontId="105" fillId="33" borderId="51" xfId="0" applyFont="1" applyFill="1" applyBorder="1" applyAlignment="1" applyProtection="1">
      <alignment horizontal="left"/>
      <protection locked="0"/>
    </xf>
    <xf numFmtId="0" fontId="37" fillId="33" borderId="52" xfId="0" applyFont="1" applyFill="1" applyBorder="1" applyAlignment="1" applyProtection="1">
      <alignment/>
      <protection locked="0"/>
    </xf>
    <xf numFmtId="49" fontId="24" fillId="33" borderId="12" xfId="0" applyNumberFormat="1" applyFont="1" applyFill="1" applyBorder="1" applyAlignment="1" applyProtection="1">
      <alignment horizontal="left"/>
      <protection locked="0"/>
    </xf>
    <xf numFmtId="0" fontId="24" fillId="33" borderId="0" xfId="0" applyFont="1" applyFill="1" applyBorder="1" applyAlignment="1" applyProtection="1">
      <alignment horizontal="left"/>
      <protection locked="0"/>
    </xf>
    <xf numFmtId="2" fontId="94" fillId="33" borderId="0" xfId="0" applyNumberFormat="1" applyFont="1" applyFill="1" applyBorder="1" applyAlignment="1" applyProtection="1">
      <alignment horizontal="center"/>
      <protection locked="0"/>
    </xf>
    <xf numFmtId="49" fontId="106" fillId="33" borderId="0" xfId="0" applyNumberFormat="1" applyFont="1" applyFill="1" applyBorder="1" applyAlignment="1" applyProtection="1">
      <alignment horizontal="right"/>
      <protection locked="0"/>
    </xf>
    <xf numFmtId="0" fontId="94" fillId="33" borderId="0" xfId="0" applyNumberFormat="1" applyFont="1" applyFill="1" applyBorder="1" applyAlignment="1" applyProtection="1">
      <alignment horizontal="center"/>
      <protection locked="0"/>
    </xf>
    <xf numFmtId="0" fontId="106" fillId="33" borderId="0" xfId="0" applyFont="1" applyFill="1" applyBorder="1" applyAlignment="1" applyProtection="1">
      <alignment/>
      <protection locked="0"/>
    </xf>
    <xf numFmtId="0" fontId="106" fillId="33" borderId="0" xfId="0" applyFont="1" applyFill="1" applyBorder="1" applyAlignment="1" applyProtection="1">
      <alignment horizontal="right"/>
      <protection locked="0"/>
    </xf>
    <xf numFmtId="1" fontId="8" fillId="33" borderId="12" xfId="0" applyNumberFormat="1" applyFont="1" applyFill="1" applyBorder="1" applyAlignment="1" applyProtection="1">
      <alignment horizontal="left"/>
      <protection locked="0"/>
    </xf>
    <xf numFmtId="0" fontId="67" fillId="33" borderId="23" xfId="0" applyFont="1" applyFill="1" applyBorder="1" applyAlignment="1" applyProtection="1">
      <alignment/>
      <protection locked="0"/>
    </xf>
    <xf numFmtId="0" fontId="37" fillId="33" borderId="23" xfId="0" applyFont="1" applyFill="1" applyBorder="1" applyAlignment="1" applyProtection="1">
      <alignment/>
      <protection locked="0"/>
    </xf>
    <xf numFmtId="0" fontId="24" fillId="33" borderId="18" xfId="0" applyFont="1" applyFill="1" applyBorder="1" applyAlignment="1" applyProtection="1">
      <alignment horizontal="center"/>
      <protection locked="0"/>
    </xf>
    <xf numFmtId="0" fontId="24" fillId="33" borderId="11" xfId="0" applyFont="1" applyFill="1" applyBorder="1" applyAlignment="1" applyProtection="1">
      <alignment horizontal="center"/>
      <protection locked="0"/>
    </xf>
    <xf numFmtId="0" fontId="23" fillId="33" borderId="11" xfId="0" applyFont="1" applyFill="1" applyBorder="1" applyAlignment="1" applyProtection="1">
      <alignment horizontal="left"/>
      <protection locked="0"/>
    </xf>
    <xf numFmtId="0" fontId="28" fillId="33" borderId="11" xfId="0" applyFont="1" applyFill="1" applyBorder="1" applyAlignment="1" applyProtection="1">
      <alignment/>
      <protection locked="0"/>
    </xf>
    <xf numFmtId="0" fontId="28" fillId="33" borderId="11" xfId="0" applyFont="1" applyFill="1" applyBorder="1" applyAlignment="1" applyProtection="1">
      <alignment horizontal="right"/>
      <protection locked="0"/>
    </xf>
    <xf numFmtId="0" fontId="28" fillId="33" borderId="11" xfId="0" applyFont="1" applyFill="1" applyBorder="1" applyAlignment="1" applyProtection="1">
      <alignment horizontal="center"/>
      <protection locked="0"/>
    </xf>
    <xf numFmtId="0" fontId="28" fillId="33" borderId="11" xfId="0" applyFont="1" applyFill="1" applyBorder="1" applyAlignment="1" applyProtection="1">
      <alignment horizontal="left"/>
      <protection locked="0"/>
    </xf>
    <xf numFmtId="49" fontId="75" fillId="33" borderId="11" xfId="0" applyNumberFormat="1" applyFont="1" applyFill="1" applyBorder="1" applyAlignment="1" applyProtection="1">
      <alignment horizontal="left"/>
      <protection locked="0"/>
    </xf>
    <xf numFmtId="0" fontId="75" fillId="33" borderId="11" xfId="0" applyFont="1" applyFill="1" applyBorder="1" applyAlignment="1" applyProtection="1">
      <alignment/>
      <protection locked="0"/>
    </xf>
    <xf numFmtId="0" fontId="100" fillId="33" borderId="11" xfId="0" applyFont="1" applyFill="1" applyBorder="1" applyAlignment="1" applyProtection="1">
      <alignment horizontal="right"/>
      <protection locked="0"/>
    </xf>
    <xf numFmtId="0" fontId="41" fillId="33" borderId="11" xfId="0" applyFont="1" applyFill="1" applyBorder="1" applyAlignment="1" applyProtection="1">
      <alignment horizontal="left"/>
      <protection locked="0"/>
    </xf>
    <xf numFmtId="0" fontId="67" fillId="33" borderId="53" xfId="0" applyFont="1" applyFill="1" applyBorder="1" applyAlignment="1" applyProtection="1">
      <alignment/>
      <protection locked="0"/>
    </xf>
    <xf numFmtId="0" fontId="0" fillId="33" borderId="13" xfId="0" applyFill="1" applyBorder="1" applyAlignment="1" applyProtection="1">
      <alignment/>
      <protection hidden="1"/>
    </xf>
    <xf numFmtId="0" fontId="0" fillId="34" borderId="0" xfId="0" applyFill="1" applyBorder="1" applyAlignment="1" applyProtection="1">
      <alignment/>
      <protection hidden="1"/>
    </xf>
    <xf numFmtId="0" fontId="0" fillId="34" borderId="22" xfId="0" applyFill="1" applyBorder="1" applyAlignment="1" applyProtection="1">
      <alignment/>
      <protection hidden="1"/>
    </xf>
    <xf numFmtId="0" fontId="65" fillId="33" borderId="0" xfId="0" applyFont="1" applyFill="1" applyBorder="1" applyAlignment="1" applyProtection="1">
      <alignment/>
      <protection hidden="1"/>
    </xf>
    <xf numFmtId="0" fontId="13" fillId="33" borderId="0" xfId="0" applyFont="1" applyFill="1" applyBorder="1" applyAlignment="1" applyProtection="1">
      <alignment/>
      <protection hidden="1"/>
    </xf>
    <xf numFmtId="0" fontId="66" fillId="33" borderId="0" xfId="0" applyFont="1" applyFill="1" applyBorder="1" applyAlignment="1" applyProtection="1">
      <alignment horizontal="left"/>
      <protection hidden="1"/>
    </xf>
    <xf numFmtId="0" fontId="65" fillId="33" borderId="0" xfId="0" applyFont="1" applyFill="1" applyBorder="1" applyAlignment="1" applyProtection="1">
      <alignment horizontal="left"/>
      <protection hidden="1"/>
    </xf>
    <xf numFmtId="0" fontId="13" fillId="33" borderId="23" xfId="0" applyFont="1" applyFill="1" applyBorder="1" applyAlignment="1" applyProtection="1">
      <alignment/>
      <protection hidden="1"/>
    </xf>
    <xf numFmtId="0" fontId="0" fillId="34" borderId="23" xfId="0" applyFill="1" applyBorder="1" applyAlignment="1" applyProtection="1">
      <alignment/>
      <protection hidden="1"/>
    </xf>
    <xf numFmtId="0" fontId="7" fillId="33" borderId="0" xfId="0" applyFont="1" applyFill="1" applyBorder="1" applyAlignment="1" applyProtection="1">
      <alignment horizontal="left"/>
      <protection hidden="1"/>
    </xf>
    <xf numFmtId="0" fontId="67" fillId="33" borderId="0" xfId="0" applyFont="1" applyFill="1" applyBorder="1" applyAlignment="1" applyProtection="1">
      <alignment horizontal="right"/>
      <protection hidden="1"/>
    </xf>
    <xf numFmtId="0" fontId="48" fillId="33" borderId="0" xfId="0" applyFont="1" applyFill="1" applyBorder="1" applyAlignment="1" applyProtection="1">
      <alignment horizontal="left"/>
      <protection hidden="1"/>
    </xf>
    <xf numFmtId="0" fontId="68" fillId="33" borderId="0" xfId="0" applyFont="1" applyFill="1" applyBorder="1" applyAlignment="1" applyProtection="1">
      <alignment horizontal="center"/>
      <protection hidden="1"/>
    </xf>
    <xf numFmtId="0" fontId="0" fillId="33" borderId="10" xfId="0" applyFont="1" applyFill="1" applyBorder="1" applyAlignment="1" applyProtection="1">
      <alignment/>
      <protection hidden="1"/>
    </xf>
    <xf numFmtId="0" fontId="69" fillId="33" borderId="12" xfId="0" applyFont="1" applyFill="1" applyBorder="1" applyAlignment="1" applyProtection="1">
      <alignment/>
      <protection hidden="1"/>
    </xf>
    <xf numFmtId="0" fontId="67" fillId="33" borderId="0" xfId="0" applyFont="1" applyFill="1" applyBorder="1" applyAlignment="1" applyProtection="1">
      <alignment/>
      <protection hidden="1"/>
    </xf>
    <xf numFmtId="0" fontId="57" fillId="33" borderId="0" xfId="0" applyFont="1" applyFill="1" applyBorder="1" applyAlignment="1" applyProtection="1">
      <alignment horizontal="left"/>
      <protection hidden="1"/>
    </xf>
    <xf numFmtId="0" fontId="72" fillId="33" borderId="0" xfId="0" applyFont="1" applyFill="1" applyBorder="1" applyAlignment="1" applyProtection="1">
      <alignment horizontal="left"/>
      <protection hidden="1"/>
    </xf>
    <xf numFmtId="0" fontId="73" fillId="33" borderId="0" xfId="0" applyFont="1" applyFill="1" applyBorder="1" applyAlignment="1" applyProtection="1">
      <alignment/>
      <protection hidden="1"/>
    </xf>
    <xf numFmtId="0" fontId="74" fillId="33" borderId="0" xfId="0" applyFont="1" applyFill="1" applyBorder="1" applyAlignment="1" applyProtection="1">
      <alignment/>
      <protection hidden="1"/>
    </xf>
    <xf numFmtId="0" fontId="70" fillId="33" borderId="0" xfId="0" applyFont="1" applyFill="1" applyBorder="1" applyAlignment="1" applyProtection="1">
      <alignment horizontal="left"/>
      <protection hidden="1"/>
    </xf>
    <xf numFmtId="0" fontId="76" fillId="33" borderId="0" xfId="0" applyFont="1" applyFill="1" applyBorder="1" applyAlignment="1" applyProtection="1">
      <alignment/>
      <protection hidden="1"/>
    </xf>
    <xf numFmtId="0" fontId="2" fillId="33" borderId="0" xfId="0" applyFont="1" applyFill="1" applyBorder="1" applyAlignment="1" applyProtection="1">
      <alignment horizontal="left"/>
      <protection hidden="1"/>
    </xf>
    <xf numFmtId="0" fontId="77" fillId="33" borderId="0" xfId="0" applyFont="1" applyFill="1" applyBorder="1" applyAlignment="1" applyProtection="1">
      <alignment horizontal="right"/>
      <protection hidden="1"/>
    </xf>
    <xf numFmtId="0" fontId="61" fillId="33" borderId="0" xfId="0" applyFont="1" applyFill="1" applyBorder="1" applyAlignment="1" applyProtection="1">
      <alignment horizontal="right"/>
      <protection hidden="1"/>
    </xf>
    <xf numFmtId="0" fontId="33" fillId="33" borderId="0" xfId="0" applyFont="1" applyFill="1" applyBorder="1" applyAlignment="1" applyProtection="1">
      <alignment horizontal="right"/>
      <protection hidden="1"/>
    </xf>
    <xf numFmtId="0" fontId="2" fillId="39" borderId="0" xfId="0" applyFont="1" applyFill="1" applyBorder="1" applyAlignment="1" applyProtection="1">
      <alignment horizontal="left"/>
      <protection hidden="1"/>
    </xf>
    <xf numFmtId="0" fontId="78" fillId="39" borderId="0" xfId="0" applyFont="1" applyFill="1" applyBorder="1" applyAlignment="1" applyProtection="1">
      <alignment horizontal="center"/>
      <protection hidden="1"/>
    </xf>
    <xf numFmtId="0" fontId="10" fillId="39" borderId="0" xfId="0" applyFont="1" applyFill="1" applyBorder="1" applyAlignment="1" applyProtection="1">
      <alignment horizontal="right"/>
      <protection hidden="1"/>
    </xf>
    <xf numFmtId="0" fontId="10" fillId="39" borderId="0" xfId="0" applyFont="1" applyFill="1" applyBorder="1" applyAlignment="1" applyProtection="1">
      <alignment horizontal="left"/>
      <protection hidden="1"/>
    </xf>
    <xf numFmtId="0" fontId="79" fillId="39" borderId="0" xfId="0" applyFont="1" applyFill="1" applyBorder="1" applyAlignment="1" applyProtection="1">
      <alignment horizontal="center"/>
      <protection hidden="1"/>
    </xf>
    <xf numFmtId="0" fontId="1" fillId="39" borderId="0" xfId="0" applyFont="1" applyFill="1" applyBorder="1" applyAlignment="1" applyProtection="1">
      <alignment/>
      <protection hidden="1"/>
    </xf>
    <xf numFmtId="0" fontId="1" fillId="39" borderId="0" xfId="0" applyFont="1" applyFill="1" applyBorder="1" applyAlignment="1" applyProtection="1">
      <alignment horizontal="center"/>
      <protection hidden="1"/>
    </xf>
    <xf numFmtId="0" fontId="2" fillId="39" borderId="0" xfId="0" applyFont="1" applyFill="1" applyBorder="1" applyAlignment="1" applyProtection="1">
      <alignment horizontal="right"/>
      <protection hidden="1"/>
    </xf>
    <xf numFmtId="0" fontId="16" fillId="33" borderId="0" xfId="0" applyFont="1" applyFill="1" applyBorder="1" applyAlignment="1" applyProtection="1">
      <alignment/>
      <protection hidden="1"/>
    </xf>
    <xf numFmtId="0" fontId="7" fillId="33" borderId="23" xfId="0" applyFont="1" applyFill="1" applyBorder="1" applyAlignment="1" applyProtection="1">
      <alignment/>
      <protection hidden="1"/>
    </xf>
    <xf numFmtId="0" fontId="80" fillId="39" borderId="0" xfId="0" applyFont="1" applyFill="1" applyBorder="1" applyAlignment="1" applyProtection="1">
      <alignment/>
      <protection hidden="1"/>
    </xf>
    <xf numFmtId="0" fontId="81" fillId="39" borderId="0" xfId="0" applyFont="1" applyFill="1" applyBorder="1" applyAlignment="1" applyProtection="1">
      <alignment horizontal="center"/>
      <protection hidden="1"/>
    </xf>
    <xf numFmtId="0" fontId="79" fillId="39" borderId="0" xfId="0" applyFont="1" applyFill="1" applyBorder="1" applyAlignment="1" applyProtection="1">
      <alignment/>
      <protection hidden="1"/>
    </xf>
    <xf numFmtId="0" fontId="80" fillId="39" borderId="0" xfId="0" applyFont="1" applyFill="1" applyBorder="1" applyAlignment="1" applyProtection="1">
      <alignment horizontal="center"/>
      <protection hidden="1"/>
    </xf>
    <xf numFmtId="0" fontId="82" fillId="33" borderId="0" xfId="0" applyFont="1" applyFill="1" applyBorder="1" applyAlignment="1" applyProtection="1">
      <alignment horizontal="center"/>
      <protection hidden="1"/>
    </xf>
    <xf numFmtId="0" fontId="33" fillId="33" borderId="0" xfId="0" applyFont="1" applyFill="1" applyBorder="1" applyAlignment="1" applyProtection="1">
      <alignment horizontal="center"/>
      <protection hidden="1"/>
    </xf>
    <xf numFmtId="0" fontId="13" fillId="33" borderId="0" xfId="0" applyFont="1" applyFill="1" applyBorder="1" applyAlignment="1" applyProtection="1">
      <alignment horizontal="left"/>
      <protection hidden="1"/>
    </xf>
    <xf numFmtId="0" fontId="14" fillId="33" borderId="12" xfId="0" applyFont="1" applyFill="1" applyBorder="1" applyAlignment="1" applyProtection="1">
      <alignment/>
      <protection hidden="1"/>
    </xf>
    <xf numFmtId="0" fontId="3" fillId="39" borderId="0" xfId="0" applyFont="1" applyFill="1" applyBorder="1" applyAlignment="1" applyProtection="1">
      <alignment/>
      <protection hidden="1"/>
    </xf>
    <xf numFmtId="0" fontId="83" fillId="39" borderId="0" xfId="0" applyFont="1" applyFill="1" applyBorder="1" applyAlignment="1" applyProtection="1">
      <alignment horizontal="center"/>
      <protection hidden="1"/>
    </xf>
    <xf numFmtId="0" fontId="47" fillId="39" borderId="0" xfId="0" applyFont="1" applyFill="1" applyBorder="1" applyAlignment="1" applyProtection="1">
      <alignment horizontal="center"/>
      <protection hidden="1"/>
    </xf>
    <xf numFmtId="0" fontId="84" fillId="39" borderId="0" xfId="0" applyFont="1" applyFill="1" applyBorder="1" applyAlignment="1" applyProtection="1">
      <alignment/>
      <protection hidden="1"/>
    </xf>
    <xf numFmtId="0" fontId="3" fillId="39" borderId="0" xfId="0" applyFont="1" applyFill="1" applyBorder="1" applyAlignment="1" applyProtection="1">
      <alignment horizontal="center"/>
      <protection hidden="1"/>
    </xf>
    <xf numFmtId="0" fontId="82" fillId="33" borderId="0" xfId="0" applyFont="1" applyFill="1" applyBorder="1" applyAlignment="1" applyProtection="1">
      <alignment horizontal="left"/>
      <protection hidden="1"/>
    </xf>
    <xf numFmtId="0" fontId="85" fillId="39" borderId="0" xfId="0" applyFont="1" applyFill="1" applyBorder="1" applyAlignment="1" applyProtection="1">
      <alignment/>
      <protection hidden="1"/>
    </xf>
    <xf numFmtId="0" fontId="86" fillId="39" borderId="0" xfId="0" applyFont="1" applyFill="1" applyBorder="1" applyAlignment="1" applyProtection="1">
      <alignment horizontal="center"/>
      <protection hidden="1"/>
    </xf>
    <xf numFmtId="0" fontId="3" fillId="39" borderId="0" xfId="0" applyFont="1" applyFill="1" applyBorder="1" applyAlignment="1" applyProtection="1">
      <alignment/>
      <protection hidden="1"/>
    </xf>
    <xf numFmtId="0" fontId="4" fillId="39" borderId="0" xfId="0" applyFont="1" applyFill="1" applyBorder="1" applyAlignment="1" applyProtection="1">
      <alignment horizontal="center"/>
      <protection hidden="1"/>
    </xf>
    <xf numFmtId="0" fontId="87" fillId="33" borderId="0" xfId="0" applyFont="1" applyFill="1" applyBorder="1" applyAlignment="1" applyProtection="1">
      <alignment horizontal="left"/>
      <protection hidden="1"/>
    </xf>
    <xf numFmtId="0" fontId="0" fillId="33" borderId="0" xfId="0" applyFont="1" applyFill="1" applyBorder="1" applyAlignment="1" applyProtection="1">
      <alignment horizontal="left"/>
      <protection hidden="1"/>
    </xf>
    <xf numFmtId="0" fontId="10" fillId="39" borderId="0" xfId="0" applyFont="1" applyFill="1" applyBorder="1" applyAlignment="1" applyProtection="1">
      <alignment/>
      <protection hidden="1"/>
    </xf>
    <xf numFmtId="0" fontId="88" fillId="39" borderId="0" xfId="0" applyFont="1" applyFill="1" applyBorder="1" applyAlignment="1" applyProtection="1">
      <alignment horizontal="center"/>
      <protection hidden="1"/>
    </xf>
    <xf numFmtId="0" fontId="10" fillId="39" borderId="0" xfId="0" applyFont="1" applyFill="1" applyBorder="1" applyAlignment="1" applyProtection="1">
      <alignment horizontal="center"/>
      <protection hidden="1"/>
    </xf>
    <xf numFmtId="0" fontId="10" fillId="39" borderId="0" xfId="0" applyFont="1" applyFill="1" applyBorder="1" applyAlignment="1" applyProtection="1">
      <alignment/>
      <protection hidden="1"/>
    </xf>
    <xf numFmtId="0" fontId="26" fillId="33" borderId="23" xfId="0" applyFont="1" applyFill="1" applyBorder="1" applyAlignment="1" applyProtection="1">
      <alignment horizontal="left"/>
      <protection hidden="1"/>
    </xf>
    <xf numFmtId="0" fontId="74" fillId="33" borderId="0" xfId="0" applyFont="1" applyFill="1" applyBorder="1" applyAlignment="1" applyProtection="1">
      <alignment horizontal="left"/>
      <protection hidden="1"/>
    </xf>
    <xf numFmtId="0" fontId="72" fillId="33" borderId="0" xfId="0" applyFont="1" applyFill="1" applyBorder="1" applyAlignment="1" applyProtection="1">
      <alignment/>
      <protection hidden="1"/>
    </xf>
    <xf numFmtId="0" fontId="0" fillId="33" borderId="0" xfId="0" applyFont="1" applyFill="1" applyBorder="1" applyAlignment="1" applyProtection="1">
      <alignment/>
      <protection hidden="1"/>
    </xf>
    <xf numFmtId="0" fontId="65" fillId="33" borderId="12" xfId="0" applyFont="1" applyFill="1" applyBorder="1" applyAlignment="1" applyProtection="1">
      <alignment/>
      <protection hidden="1"/>
    </xf>
    <xf numFmtId="0" fontId="37" fillId="33" borderId="0" xfId="0" applyFont="1" applyFill="1" applyBorder="1" applyAlignment="1" applyProtection="1">
      <alignment horizontal="center"/>
      <protection hidden="1"/>
    </xf>
    <xf numFmtId="0" fontId="37" fillId="33" borderId="0" xfId="0" applyFont="1" applyFill="1" applyBorder="1" applyAlignment="1" applyProtection="1">
      <alignment horizontal="right"/>
      <protection hidden="1"/>
    </xf>
    <xf numFmtId="0" fontId="8" fillId="33" borderId="0" xfId="0" applyFont="1" applyFill="1" applyBorder="1" applyAlignment="1" applyProtection="1">
      <alignment horizontal="right"/>
      <protection hidden="1"/>
    </xf>
    <xf numFmtId="0" fontId="7" fillId="33" borderId="15" xfId="0" applyFont="1" applyFill="1" applyBorder="1" applyAlignment="1" applyProtection="1">
      <alignment horizontal="center"/>
      <protection hidden="1"/>
    </xf>
    <xf numFmtId="0" fontId="7" fillId="33" borderId="43" xfId="0" applyFont="1" applyFill="1" applyBorder="1" applyAlignment="1" applyProtection="1">
      <alignment/>
      <protection hidden="1"/>
    </xf>
    <xf numFmtId="0" fontId="7" fillId="33" borderId="42" xfId="0" applyFont="1" applyFill="1" applyBorder="1" applyAlignment="1" applyProtection="1">
      <alignment horizontal="left"/>
      <protection hidden="1"/>
    </xf>
    <xf numFmtId="0" fontId="7" fillId="33" borderId="42" xfId="0" applyFont="1" applyFill="1" applyBorder="1" applyAlignment="1" applyProtection="1">
      <alignment horizontal="center"/>
      <protection hidden="1"/>
    </xf>
    <xf numFmtId="0" fontId="7" fillId="33" borderId="44" xfId="0" applyFont="1" applyFill="1" applyBorder="1" applyAlignment="1" applyProtection="1">
      <alignment horizontal="center"/>
      <protection hidden="1"/>
    </xf>
    <xf numFmtId="0" fontId="17" fillId="33" borderId="0" xfId="0" applyFont="1" applyFill="1" applyBorder="1" applyAlignment="1" applyProtection="1">
      <alignment horizontal="right"/>
      <protection hidden="1"/>
    </xf>
    <xf numFmtId="0" fontId="80" fillId="33" borderId="54" xfId="0" applyFont="1" applyFill="1" applyBorder="1" applyAlignment="1" applyProtection="1">
      <alignment horizontal="center"/>
      <protection hidden="1"/>
    </xf>
    <xf numFmtId="0" fontId="80" fillId="33" borderId="55" xfId="0" applyFont="1" applyFill="1" applyBorder="1" applyAlignment="1" applyProtection="1">
      <alignment horizontal="center"/>
      <protection hidden="1"/>
    </xf>
    <xf numFmtId="0" fontId="80" fillId="33" borderId="56" xfId="0" applyFont="1" applyFill="1" applyBorder="1" applyAlignment="1" applyProtection="1" quotePrefix="1">
      <alignment horizontal="center"/>
      <protection hidden="1"/>
    </xf>
    <xf numFmtId="0" fontId="80" fillId="33" borderId="55" xfId="0" applyFont="1" applyFill="1" applyBorder="1" applyAlignment="1" applyProtection="1" quotePrefix="1">
      <alignment horizontal="center"/>
      <protection hidden="1"/>
    </xf>
    <xf numFmtId="0" fontId="80" fillId="33" borderId="56" xfId="0" applyFont="1" applyFill="1" applyBorder="1" applyAlignment="1" applyProtection="1">
      <alignment horizontal="right"/>
      <protection hidden="1"/>
    </xf>
    <xf numFmtId="0" fontId="80" fillId="33" borderId="57" xfId="0" applyFont="1" applyFill="1" applyBorder="1" applyAlignment="1" applyProtection="1">
      <alignment horizontal="right"/>
      <protection hidden="1"/>
    </xf>
    <xf numFmtId="0" fontId="80" fillId="33" borderId="57" xfId="0" applyFont="1" applyFill="1" applyBorder="1" applyAlignment="1" applyProtection="1" quotePrefix="1">
      <alignment horizontal="center"/>
      <protection hidden="1"/>
    </xf>
    <xf numFmtId="0" fontId="80" fillId="33" borderId="21" xfId="0" applyFont="1" applyFill="1" applyBorder="1" applyAlignment="1" applyProtection="1">
      <alignment horizontal="center"/>
      <protection hidden="1"/>
    </xf>
    <xf numFmtId="0" fontId="80" fillId="33" borderId="32" xfId="0" applyFont="1" applyFill="1" applyBorder="1" applyAlignment="1" applyProtection="1">
      <alignment horizontal="center"/>
      <protection hidden="1"/>
    </xf>
    <xf numFmtId="0" fontId="80" fillId="33" borderId="11" xfId="0" applyFont="1" applyFill="1" applyBorder="1" applyAlignment="1" applyProtection="1" quotePrefix="1">
      <alignment horizontal="center"/>
      <protection hidden="1"/>
    </xf>
    <xf numFmtId="0" fontId="80" fillId="33" borderId="32" xfId="0" applyFont="1" applyFill="1" applyBorder="1" applyAlignment="1" applyProtection="1" quotePrefix="1">
      <alignment horizontal="center"/>
      <protection hidden="1"/>
    </xf>
    <xf numFmtId="0" fontId="80" fillId="33" borderId="11" xfId="0" applyFont="1" applyFill="1" applyBorder="1" applyAlignment="1" applyProtection="1">
      <alignment horizontal="right"/>
      <protection hidden="1"/>
    </xf>
    <xf numFmtId="0" fontId="80" fillId="33" borderId="58" xfId="0" applyFont="1" applyFill="1" applyBorder="1" applyAlignment="1" applyProtection="1">
      <alignment horizontal="right"/>
      <protection hidden="1"/>
    </xf>
    <xf numFmtId="0" fontId="80" fillId="33" borderId="58" xfId="0" applyFont="1" applyFill="1" applyBorder="1" applyAlignment="1" applyProtection="1" quotePrefix="1">
      <alignment horizontal="center"/>
      <protection hidden="1"/>
    </xf>
    <xf numFmtId="0" fontId="1" fillId="33" borderId="0" xfId="0" applyFont="1" applyFill="1" applyBorder="1" applyAlignment="1" applyProtection="1">
      <alignment horizontal="left"/>
      <protection hidden="1"/>
    </xf>
    <xf numFmtId="0" fontId="58" fillId="33" borderId="0" xfId="0" applyFont="1" applyFill="1" applyBorder="1" applyAlignment="1" applyProtection="1">
      <alignment/>
      <protection hidden="1"/>
    </xf>
    <xf numFmtId="0" fontId="13" fillId="33" borderId="0" xfId="0" applyFont="1" applyFill="1" applyBorder="1" applyAlignment="1" applyProtection="1">
      <alignment horizontal="right"/>
      <protection hidden="1"/>
    </xf>
    <xf numFmtId="0" fontId="89" fillId="33" borderId="0" xfId="0" applyFont="1" applyFill="1" applyBorder="1" applyAlignment="1" applyProtection="1">
      <alignment horizontal="center"/>
      <protection hidden="1"/>
    </xf>
    <xf numFmtId="0" fontId="90" fillId="33" borderId="0" xfId="0" applyFont="1" applyFill="1" applyBorder="1" applyAlignment="1" applyProtection="1" quotePrefix="1">
      <alignment horizontal="center"/>
      <protection hidden="1"/>
    </xf>
    <xf numFmtId="0" fontId="26" fillId="33" borderId="0" xfId="0" applyFont="1" applyFill="1" applyBorder="1" applyAlignment="1" applyProtection="1" quotePrefix="1">
      <alignment horizontal="center"/>
      <protection hidden="1"/>
    </xf>
    <xf numFmtId="0" fontId="27" fillId="33" borderId="0" xfId="0" applyFont="1" applyFill="1" applyBorder="1" applyAlignment="1" applyProtection="1">
      <alignment horizontal="left"/>
      <protection hidden="1"/>
    </xf>
    <xf numFmtId="0" fontId="27" fillId="33" borderId="0" xfId="0" applyFont="1" applyFill="1" applyBorder="1" applyAlignment="1" applyProtection="1">
      <alignment horizontal="right"/>
      <protection hidden="1"/>
    </xf>
    <xf numFmtId="0" fontId="37" fillId="33" borderId="59" xfId="0" applyFont="1" applyFill="1" applyBorder="1" applyAlignment="1" applyProtection="1">
      <alignment horizontal="center"/>
      <protection hidden="1"/>
    </xf>
    <xf numFmtId="0" fontId="37" fillId="33" borderId="56" xfId="0" applyFont="1" applyFill="1" applyBorder="1" applyAlignment="1" applyProtection="1">
      <alignment horizontal="center"/>
      <protection hidden="1"/>
    </xf>
    <xf numFmtId="0" fontId="37" fillId="33" borderId="60" xfId="0" applyFont="1" applyFill="1" applyBorder="1" applyAlignment="1" applyProtection="1">
      <alignment horizontal="center"/>
      <protection hidden="1"/>
    </xf>
    <xf numFmtId="0" fontId="37" fillId="33" borderId="61" xfId="0" applyFont="1" applyFill="1" applyBorder="1" applyAlignment="1" applyProtection="1">
      <alignment horizontal="left"/>
      <protection hidden="1"/>
    </xf>
    <xf numFmtId="0" fontId="37" fillId="33" borderId="60" xfId="0" applyFont="1" applyFill="1" applyBorder="1" applyAlignment="1" applyProtection="1">
      <alignment horizontal="right"/>
      <protection hidden="1"/>
    </xf>
    <xf numFmtId="0" fontId="37" fillId="33" borderId="61" xfId="0" applyFont="1" applyFill="1" applyBorder="1" applyAlignment="1" applyProtection="1">
      <alignment horizontal="center"/>
      <protection hidden="1"/>
    </xf>
    <xf numFmtId="0" fontId="37" fillId="33" borderId="62" xfId="0" applyFont="1" applyFill="1" applyBorder="1" applyAlignment="1" applyProtection="1">
      <alignment horizontal="center"/>
      <protection hidden="1"/>
    </xf>
    <xf numFmtId="49" fontId="17" fillId="33" borderId="0" xfId="0" applyNumberFormat="1" applyFont="1" applyFill="1" applyBorder="1" applyAlignment="1" applyProtection="1">
      <alignment horizontal="left"/>
      <protection hidden="1"/>
    </xf>
    <xf numFmtId="0" fontId="37" fillId="33" borderId="54" xfId="0" applyFont="1" applyFill="1" applyBorder="1" applyAlignment="1" applyProtection="1">
      <alignment horizontal="center"/>
      <protection hidden="1"/>
    </xf>
    <xf numFmtId="0" fontId="37" fillId="33" borderId="57" xfId="0" applyFont="1" applyFill="1" applyBorder="1" applyAlignment="1" applyProtection="1">
      <alignment horizontal="center"/>
      <protection hidden="1"/>
    </xf>
    <xf numFmtId="0" fontId="37" fillId="33" borderId="55" xfId="0" applyFont="1" applyFill="1" applyBorder="1" applyAlignment="1" applyProtection="1">
      <alignment horizontal="left"/>
      <protection hidden="1"/>
    </xf>
    <xf numFmtId="0" fontId="37" fillId="33" borderId="56" xfId="0" applyFont="1" applyFill="1" applyBorder="1" applyAlignment="1" applyProtection="1">
      <alignment horizontal="left"/>
      <protection hidden="1"/>
    </xf>
    <xf numFmtId="0" fontId="37" fillId="33" borderId="57" xfId="0" applyFont="1" applyFill="1" applyBorder="1" applyAlignment="1" applyProtection="1">
      <alignment horizontal="right"/>
      <protection hidden="1"/>
    </xf>
    <xf numFmtId="0" fontId="37" fillId="33" borderId="55" xfId="0" applyFont="1" applyFill="1" applyBorder="1" applyAlignment="1" applyProtection="1">
      <alignment horizontal="center"/>
      <protection hidden="1"/>
    </xf>
    <xf numFmtId="0" fontId="37" fillId="33" borderId="21" xfId="0" applyFont="1" applyFill="1" applyBorder="1" applyAlignment="1" applyProtection="1">
      <alignment horizontal="center"/>
      <protection hidden="1"/>
    </xf>
    <xf numFmtId="0" fontId="37" fillId="33" borderId="11" xfId="0" applyFont="1" applyFill="1" applyBorder="1" applyAlignment="1" applyProtection="1">
      <alignment horizontal="center"/>
      <protection hidden="1"/>
    </xf>
    <xf numFmtId="0" fontId="37" fillId="33" borderId="58" xfId="0" applyFont="1" applyFill="1" applyBorder="1" applyAlignment="1" applyProtection="1">
      <alignment horizontal="center"/>
      <protection hidden="1"/>
    </xf>
    <xf numFmtId="0" fontId="37" fillId="33" borderId="32" xfId="0" applyFont="1" applyFill="1" applyBorder="1" applyAlignment="1" applyProtection="1">
      <alignment horizontal="left"/>
      <protection hidden="1"/>
    </xf>
    <xf numFmtId="0" fontId="37" fillId="33" borderId="11" xfId="0" applyFont="1" applyFill="1" applyBorder="1" applyAlignment="1" applyProtection="1">
      <alignment horizontal="left"/>
      <protection hidden="1"/>
    </xf>
    <xf numFmtId="0" fontId="37" fillId="33" borderId="58" xfId="0" applyFont="1" applyFill="1" applyBorder="1" applyAlignment="1" applyProtection="1">
      <alignment horizontal="right"/>
      <protection hidden="1"/>
    </xf>
    <xf numFmtId="0" fontId="37" fillId="33" borderId="32" xfId="0" applyFont="1" applyFill="1" applyBorder="1" applyAlignment="1" applyProtection="1">
      <alignment horizontal="center"/>
      <protection hidden="1"/>
    </xf>
    <xf numFmtId="0" fontId="32" fillId="34" borderId="0" xfId="0" applyFont="1" applyFill="1" applyBorder="1" applyAlignment="1" applyProtection="1">
      <alignment horizontal="left"/>
      <protection hidden="1"/>
    </xf>
    <xf numFmtId="0" fontId="14" fillId="33" borderId="39" xfId="0" applyFont="1" applyFill="1" applyBorder="1" applyAlignment="1" applyProtection="1">
      <alignment horizontal="right"/>
      <protection hidden="1"/>
    </xf>
    <xf numFmtId="49" fontId="7" fillId="33" borderId="0" xfId="0" applyNumberFormat="1" applyFont="1" applyFill="1" applyBorder="1" applyAlignment="1" applyProtection="1">
      <alignment horizontal="right"/>
      <protection hidden="1"/>
    </xf>
    <xf numFmtId="49" fontId="37" fillId="33" borderId="0" xfId="0" applyNumberFormat="1" applyFont="1" applyFill="1" applyBorder="1" applyAlignment="1" applyProtection="1">
      <alignment horizontal="right"/>
      <protection hidden="1"/>
    </xf>
    <xf numFmtId="0" fontId="37" fillId="33" borderId="62" xfId="0" applyFont="1" applyFill="1" applyBorder="1" applyAlignment="1" applyProtection="1">
      <alignment horizontal="left"/>
      <protection hidden="1"/>
    </xf>
    <xf numFmtId="0" fontId="41" fillId="33" borderId="0" xfId="0" applyFont="1" applyFill="1" applyBorder="1" applyAlignment="1" applyProtection="1">
      <alignment horizontal="center"/>
      <protection hidden="1"/>
    </xf>
    <xf numFmtId="0" fontId="0" fillId="34" borderId="0" xfId="0" applyFont="1" applyFill="1" applyBorder="1" applyAlignment="1" applyProtection="1">
      <alignment/>
      <protection hidden="1"/>
    </xf>
    <xf numFmtId="0" fontId="37" fillId="33" borderId="0" xfId="0" applyFont="1" applyFill="1" applyBorder="1" applyAlignment="1" applyProtection="1">
      <alignment horizontal="right"/>
      <protection hidden="1"/>
    </xf>
    <xf numFmtId="0" fontId="37" fillId="33" borderId="63" xfId="0" applyFont="1" applyFill="1" applyBorder="1" applyAlignment="1" applyProtection="1">
      <alignment horizontal="center"/>
      <protection hidden="1"/>
    </xf>
    <xf numFmtId="0" fontId="57" fillId="33" borderId="0" xfId="0" applyFont="1" applyFill="1" applyBorder="1" applyAlignment="1" applyProtection="1">
      <alignment horizontal="center"/>
      <protection hidden="1"/>
    </xf>
    <xf numFmtId="0" fontId="65" fillId="33" borderId="55" xfId="0" applyFont="1" applyFill="1" applyBorder="1" applyAlignment="1" applyProtection="1">
      <alignment horizontal="left"/>
      <protection hidden="1"/>
    </xf>
    <xf numFmtId="0" fontId="91" fillId="33" borderId="0" xfId="0" applyFont="1" applyFill="1" applyBorder="1" applyAlignment="1" applyProtection="1">
      <alignment/>
      <protection hidden="1"/>
    </xf>
    <xf numFmtId="49" fontId="92" fillId="33" borderId="0" xfId="0" applyNumberFormat="1" applyFont="1" applyFill="1" applyBorder="1" applyAlignment="1" applyProtection="1">
      <alignment horizontal="left"/>
      <protection hidden="1"/>
    </xf>
    <xf numFmtId="0" fontId="65" fillId="33" borderId="32" xfId="0" applyFont="1" applyFill="1" applyBorder="1" applyAlignment="1" applyProtection="1">
      <alignment horizontal="left"/>
      <protection hidden="1"/>
    </xf>
    <xf numFmtId="0" fontId="32" fillId="34" borderId="0" xfId="0" applyFont="1" applyFill="1" applyBorder="1" applyAlignment="1" applyProtection="1">
      <alignment horizontal="right"/>
      <protection hidden="1"/>
    </xf>
    <xf numFmtId="0" fontId="8" fillId="33" borderId="0" xfId="0" applyFont="1" applyFill="1" applyBorder="1" applyAlignment="1" applyProtection="1">
      <alignment horizontal="left"/>
      <protection hidden="1"/>
    </xf>
    <xf numFmtId="0" fontId="92" fillId="33" borderId="0" xfId="0" applyFont="1" applyFill="1" applyBorder="1" applyAlignment="1" applyProtection="1">
      <alignment/>
      <protection hidden="1"/>
    </xf>
    <xf numFmtId="0" fontId="93" fillId="33" borderId="0" xfId="0" applyFont="1" applyFill="1" applyBorder="1" applyAlignment="1" applyProtection="1">
      <alignment horizontal="right"/>
      <protection hidden="1"/>
    </xf>
    <xf numFmtId="0" fontId="27" fillId="33" borderId="0" xfId="0" applyFont="1" applyFill="1" applyBorder="1" applyAlignment="1" applyProtection="1">
      <alignment horizontal="center"/>
      <protection hidden="1"/>
    </xf>
    <xf numFmtId="0" fontId="30" fillId="33" borderId="0" xfId="0" applyFont="1" applyFill="1" applyBorder="1" applyAlignment="1" applyProtection="1">
      <alignment horizontal="left"/>
      <protection hidden="1"/>
    </xf>
    <xf numFmtId="49" fontId="93" fillId="33" borderId="0" xfId="0" applyNumberFormat="1" applyFont="1" applyFill="1" applyBorder="1" applyAlignment="1" applyProtection="1">
      <alignment horizontal="left"/>
      <protection hidden="1"/>
    </xf>
    <xf numFmtId="0" fontId="30" fillId="33" borderId="0" xfId="0" applyFont="1" applyFill="1" applyBorder="1" applyAlignment="1" applyProtection="1">
      <alignment horizontal="center"/>
      <protection hidden="1"/>
    </xf>
    <xf numFmtId="0" fontId="26" fillId="33" borderId="0" xfId="0" applyFont="1" applyFill="1" applyBorder="1" applyAlignment="1" applyProtection="1">
      <alignment/>
      <protection hidden="1"/>
    </xf>
    <xf numFmtId="0" fontId="0" fillId="0" borderId="23" xfId="0" applyBorder="1" applyAlignment="1" applyProtection="1">
      <alignment/>
      <protection hidden="1"/>
    </xf>
    <xf numFmtId="0" fontId="23" fillId="33" borderId="0" xfId="0" applyFont="1" applyFill="1" applyBorder="1" applyAlignment="1" applyProtection="1">
      <alignment/>
      <protection hidden="1"/>
    </xf>
    <xf numFmtId="0" fontId="7" fillId="33" borderId="38" xfId="0" applyFont="1" applyFill="1" applyBorder="1" applyAlignment="1" applyProtection="1">
      <alignment/>
      <protection hidden="1"/>
    </xf>
    <xf numFmtId="0" fontId="67" fillId="33" borderId="39" xfId="0" applyFont="1" applyFill="1" applyBorder="1" applyAlignment="1" applyProtection="1">
      <alignment/>
      <protection hidden="1"/>
    </xf>
    <xf numFmtId="0" fontId="0" fillId="34" borderId="40" xfId="0" applyFill="1" applyBorder="1" applyAlignment="1" applyProtection="1">
      <alignment/>
      <protection hidden="1"/>
    </xf>
    <xf numFmtId="0" fontId="0" fillId="34" borderId="39" xfId="0" applyFill="1" applyBorder="1" applyAlignment="1" applyProtection="1">
      <alignment/>
      <protection hidden="1"/>
    </xf>
    <xf numFmtId="0" fontId="55" fillId="33" borderId="12" xfId="0" applyFont="1" applyFill="1" applyBorder="1" applyAlignment="1" applyProtection="1">
      <alignment/>
      <protection hidden="1"/>
    </xf>
    <xf numFmtId="0" fontId="0" fillId="33" borderId="0" xfId="0" applyFont="1" applyFill="1" applyBorder="1" applyAlignment="1" applyProtection="1">
      <alignment horizontal="left"/>
      <protection hidden="1"/>
    </xf>
    <xf numFmtId="0" fontId="107" fillId="33" borderId="0" xfId="0" applyFont="1" applyFill="1" applyBorder="1" applyAlignment="1" applyProtection="1">
      <alignment horizontal="left"/>
      <protection hidden="1"/>
    </xf>
    <xf numFmtId="0" fontId="1" fillId="33" borderId="0" xfId="0" applyFont="1" applyFill="1" applyBorder="1" applyAlignment="1" applyProtection="1">
      <alignment/>
      <protection hidden="1"/>
    </xf>
    <xf numFmtId="0" fontId="108" fillId="33" borderId="0" xfId="0" applyFont="1" applyFill="1" applyBorder="1" applyAlignment="1" applyProtection="1">
      <alignment/>
      <protection hidden="1"/>
    </xf>
    <xf numFmtId="0" fontId="109" fillId="33" borderId="0" xfId="0" applyFont="1" applyFill="1" applyBorder="1" applyAlignment="1" applyProtection="1">
      <alignment/>
      <protection hidden="1"/>
    </xf>
    <xf numFmtId="0" fontId="16" fillId="33" borderId="0" xfId="0" applyFont="1" applyFill="1" applyBorder="1" applyAlignment="1" applyProtection="1">
      <alignment horizontal="left"/>
      <protection hidden="1"/>
    </xf>
    <xf numFmtId="0" fontId="110" fillId="33" borderId="0" xfId="0" applyFont="1" applyFill="1" applyBorder="1" applyAlignment="1" applyProtection="1">
      <alignment/>
      <protection hidden="1"/>
    </xf>
    <xf numFmtId="0" fontId="112" fillId="33" borderId="0" xfId="0" applyFont="1" applyFill="1" applyBorder="1" applyAlignment="1" applyProtection="1">
      <alignment horizontal="left"/>
      <protection hidden="1"/>
    </xf>
    <xf numFmtId="0" fontId="112" fillId="33" borderId="0" xfId="0" applyFont="1" applyFill="1" applyBorder="1" applyAlignment="1" applyProtection="1">
      <alignment/>
      <protection hidden="1"/>
    </xf>
    <xf numFmtId="0" fontId="112" fillId="33" borderId="0" xfId="0" applyFont="1" applyFill="1" applyBorder="1" applyAlignment="1" applyProtection="1">
      <alignment/>
      <protection hidden="1"/>
    </xf>
    <xf numFmtId="0" fontId="113" fillId="33" borderId="0" xfId="0" applyFont="1" applyFill="1" applyBorder="1" applyAlignment="1" applyProtection="1">
      <alignment/>
      <protection hidden="1"/>
    </xf>
    <xf numFmtId="0" fontId="46" fillId="33" borderId="23" xfId="0" applyFont="1" applyFill="1" applyBorder="1" applyAlignment="1" applyProtection="1">
      <alignment/>
      <protection hidden="1"/>
    </xf>
    <xf numFmtId="0" fontId="113" fillId="33" borderId="0" xfId="0" applyFont="1" applyFill="1" applyBorder="1" applyAlignment="1" applyProtection="1">
      <alignment/>
      <protection hidden="1"/>
    </xf>
    <xf numFmtId="0" fontId="112" fillId="33" borderId="0" xfId="0" applyFont="1" applyFill="1" applyBorder="1" applyAlignment="1" applyProtection="1">
      <alignment horizontal="left"/>
      <protection hidden="1"/>
    </xf>
    <xf numFmtId="0" fontId="51" fillId="33" borderId="12" xfId="0" applyFont="1" applyFill="1" applyBorder="1" applyAlignment="1" applyProtection="1">
      <alignment/>
      <protection hidden="1"/>
    </xf>
    <xf numFmtId="0" fontId="112" fillId="0" borderId="0" xfId="0" applyFont="1" applyBorder="1" applyAlignment="1" applyProtection="1">
      <alignment/>
      <protection hidden="1"/>
    </xf>
    <xf numFmtId="0" fontId="51" fillId="33" borderId="38" xfId="0" applyFont="1" applyFill="1" applyBorder="1" applyAlignment="1" applyProtection="1">
      <alignment/>
      <protection hidden="1"/>
    </xf>
    <xf numFmtId="0" fontId="0" fillId="33" borderId="40" xfId="0" applyFont="1" applyFill="1" applyBorder="1" applyAlignment="1" applyProtection="1">
      <alignment horizontal="left"/>
      <protection hidden="1"/>
    </xf>
    <xf numFmtId="0" fontId="13" fillId="0" borderId="0" xfId="0" applyFont="1" applyBorder="1" applyAlignment="1">
      <alignment horizontal="left" wrapText="1"/>
    </xf>
    <xf numFmtId="175" fontId="45" fillId="36" borderId="42" xfId="0" applyNumberFormat="1" applyFont="1" applyFill="1" applyBorder="1" applyAlignment="1" applyProtection="1">
      <alignment horizontal="left"/>
      <protection/>
    </xf>
    <xf numFmtId="175" fontId="45" fillId="0" borderId="42" xfId="0" applyNumberFormat="1" applyFont="1" applyBorder="1" applyAlignment="1" applyProtection="1">
      <alignment horizontal="left"/>
      <protection/>
    </xf>
    <xf numFmtId="14" fontId="45" fillId="0" borderId="0" xfId="0" applyNumberFormat="1" applyFont="1" applyBorder="1" applyAlignment="1" applyProtection="1">
      <alignment horizontal="left"/>
      <protection/>
    </xf>
    <xf numFmtId="0" fontId="0" fillId="0" borderId="0" xfId="0" applyNumberFormat="1" applyBorder="1" applyAlignment="1">
      <alignment horizontal="left"/>
    </xf>
    <xf numFmtId="0" fontId="33" fillId="0" borderId="0" xfId="0" applyFont="1" applyFill="1" applyBorder="1" applyAlignment="1" applyProtection="1">
      <alignment horizontal="center"/>
      <protection/>
    </xf>
    <xf numFmtId="0" fontId="33" fillId="0" borderId="0" xfId="0" applyFont="1" applyFill="1" applyBorder="1" applyAlignment="1" applyProtection="1">
      <alignment horizontal="center"/>
      <protection/>
    </xf>
    <xf numFmtId="0" fontId="13" fillId="0" borderId="12" xfId="0" applyFont="1" applyFill="1" applyBorder="1" applyAlignment="1" applyProtection="1">
      <alignment horizontal="center" wrapText="1"/>
      <protection/>
    </xf>
    <xf numFmtId="0" fontId="13" fillId="0" borderId="0" xfId="0" applyFont="1" applyFill="1" applyBorder="1" applyAlignment="1" applyProtection="1">
      <alignment horizontal="center" wrapText="1"/>
      <protection/>
    </xf>
    <xf numFmtId="0" fontId="56" fillId="0" borderId="0" xfId="0" applyFont="1" applyFill="1" applyBorder="1" applyAlignment="1" applyProtection="1">
      <alignment horizontal="center" wrapText="1"/>
      <protection/>
    </xf>
    <xf numFmtId="0" fontId="13" fillId="0" borderId="23"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12" xfId="0" applyFont="1" applyFill="1" applyBorder="1" applyAlignment="1" applyProtection="1">
      <alignment horizontal="center"/>
      <protection/>
    </xf>
    <xf numFmtId="0" fontId="56" fillId="0" borderId="0" xfId="0" applyFont="1" applyFill="1" applyBorder="1" applyAlignment="1" applyProtection="1">
      <alignment horizontal="center"/>
      <protection/>
    </xf>
    <xf numFmtId="0" fontId="55" fillId="0" borderId="0" xfId="0" applyFont="1" applyFill="1" applyBorder="1" applyAlignment="1" applyProtection="1">
      <alignment horizontal="center"/>
      <protection/>
    </xf>
    <xf numFmtId="0" fontId="57" fillId="0" borderId="0" xfId="0" applyFont="1" applyFill="1" applyBorder="1" applyAlignment="1" applyProtection="1">
      <alignment horizontal="center"/>
      <protection/>
    </xf>
    <xf numFmtId="0" fontId="33" fillId="0" borderId="49" xfId="0" applyFont="1" applyBorder="1" applyAlignment="1">
      <alignment horizontal="center" wrapText="1"/>
    </xf>
    <xf numFmtId="0" fontId="13" fillId="0" borderId="41" xfId="0" applyFont="1" applyBorder="1" applyAlignment="1">
      <alignment horizontal="center" wrapText="1"/>
    </xf>
    <xf numFmtId="0" fontId="13" fillId="0" borderId="45" xfId="0" applyFont="1" applyBorder="1" applyAlignment="1">
      <alignment horizontal="center" wrapText="1"/>
    </xf>
    <xf numFmtId="0" fontId="0" fillId="0" borderId="0" xfId="0" applyAlignment="1">
      <alignment horizontal="right"/>
    </xf>
    <xf numFmtId="0" fontId="0" fillId="35" borderId="49" xfId="0" applyFill="1" applyBorder="1" applyAlignment="1">
      <alignment horizontal="right"/>
    </xf>
    <xf numFmtId="0" fontId="32" fillId="34" borderId="10" xfId="0" applyFont="1" applyFill="1" applyBorder="1" applyAlignment="1" applyProtection="1">
      <alignment horizontal="right"/>
      <protection locked="0"/>
    </xf>
    <xf numFmtId="0" fontId="32" fillId="34" borderId="0" xfId="0" applyFont="1" applyFill="1" applyBorder="1" applyAlignment="1" applyProtection="1">
      <alignment horizontal="right"/>
      <protection locked="0"/>
    </xf>
    <xf numFmtId="0" fontId="64" fillId="33" borderId="0" xfId="0" applyFont="1" applyFill="1" applyBorder="1" applyAlignment="1" applyProtection="1">
      <alignment horizontal="left" vertical="center"/>
      <protection hidden="1"/>
    </xf>
    <xf numFmtId="0" fontId="62" fillId="33" borderId="0" xfId="0" applyFont="1" applyFill="1" applyBorder="1" applyAlignment="1" applyProtection="1">
      <alignment vertical="center"/>
      <protection hidden="1"/>
    </xf>
    <xf numFmtId="0" fontId="62" fillId="33" borderId="0" xfId="0" applyFont="1" applyFill="1" applyBorder="1" applyAlignment="1" applyProtection="1">
      <alignment horizontal="left" vertical="center"/>
      <protection hidden="1"/>
    </xf>
    <xf numFmtId="0" fontId="63" fillId="33" borderId="0" xfId="0" applyFont="1" applyFill="1" applyBorder="1" applyAlignment="1" applyProtection="1">
      <alignment vertical="center"/>
      <protection hidden="1"/>
    </xf>
    <xf numFmtId="0" fontId="62" fillId="33" borderId="0" xfId="0" applyFont="1" applyFill="1" applyBorder="1" applyAlignment="1" applyProtection="1">
      <alignment horizontal="right" vertical="center"/>
      <protection hidden="1"/>
    </xf>
    <xf numFmtId="0" fontId="63" fillId="33" borderId="0" xfId="0" applyFont="1" applyFill="1" applyBorder="1" applyAlignment="1" applyProtection="1">
      <alignment horizontal="center" vertical="center"/>
      <protection hidden="1"/>
    </xf>
    <xf numFmtId="0" fontId="0" fillId="33" borderId="0" xfId="0" applyFill="1" applyBorder="1" applyAlignment="1" applyProtection="1">
      <alignment vertical="center"/>
      <protection hidden="1"/>
    </xf>
    <xf numFmtId="0" fontId="65" fillId="33" borderId="0" xfId="0" applyFont="1" applyFill="1" applyBorder="1" applyAlignment="1" applyProtection="1">
      <alignment vertical="center"/>
      <protection hidden="1"/>
    </xf>
    <xf numFmtId="0" fontId="48" fillId="33" borderId="0" xfId="0" applyFont="1" applyFill="1" applyBorder="1" applyAlignment="1" applyProtection="1">
      <alignment horizontal="left" vertical="center"/>
      <protection hidden="1"/>
    </xf>
    <xf numFmtId="0" fontId="65" fillId="33" borderId="0" xfId="0" applyFont="1" applyFill="1" applyBorder="1" applyAlignment="1" applyProtection="1">
      <alignment horizontal="center" vertical="center"/>
      <protection hidden="1"/>
    </xf>
    <xf numFmtId="0" fontId="71" fillId="33" borderId="0" xfId="0" applyFont="1" applyFill="1" applyBorder="1" applyAlignment="1" applyProtection="1">
      <alignment vertical="center"/>
      <protection hidden="1"/>
    </xf>
    <xf numFmtId="0" fontId="37" fillId="33" borderId="0" xfId="0" applyFont="1" applyFill="1" applyBorder="1" applyAlignment="1" applyProtection="1">
      <alignment horizontal="left" vertical="center"/>
      <protection hidden="1"/>
    </xf>
    <xf numFmtId="0" fontId="7" fillId="33" borderId="0" xfId="0" applyFont="1" applyFill="1" applyBorder="1" applyAlignment="1" applyProtection="1">
      <alignment vertical="center"/>
      <protection hidden="1"/>
    </xf>
    <xf numFmtId="0" fontId="67" fillId="33" borderId="0" xfId="0" applyFont="1" applyFill="1" applyBorder="1" applyAlignment="1" applyProtection="1">
      <alignment horizontal="left" vertical="center"/>
      <protection hidden="1"/>
    </xf>
    <xf numFmtId="0" fontId="69" fillId="33" borderId="0" xfId="0" applyFont="1" applyFill="1" applyBorder="1" applyAlignment="1" applyProtection="1">
      <alignment horizontal="left" vertical="center"/>
      <protection hidden="1"/>
    </xf>
    <xf numFmtId="172" fontId="48" fillId="33" borderId="0" xfId="0" applyNumberFormat="1" applyFont="1" applyFill="1" applyBorder="1" applyAlignment="1" applyProtection="1">
      <alignment horizontal="left" vertical="center"/>
      <protection hidden="1"/>
    </xf>
    <xf numFmtId="0" fontId="69" fillId="33" borderId="0" xfId="0" applyFont="1" applyFill="1" applyBorder="1" applyAlignment="1" applyProtection="1">
      <alignment vertical="center"/>
      <protection hidden="1"/>
    </xf>
    <xf numFmtId="0" fontId="48" fillId="33" borderId="0" xfId="0" applyNumberFormat="1" applyFont="1" applyFill="1" applyBorder="1" applyAlignment="1" applyProtection="1">
      <alignment horizontal="left" vertical="center"/>
      <protection hidden="1"/>
    </xf>
    <xf numFmtId="0" fontId="75" fillId="33" borderId="0" xfId="0" applyFont="1" applyFill="1" applyBorder="1" applyAlignment="1" applyProtection="1">
      <alignment horizontal="center" vertical="center"/>
      <protection hidden="1"/>
    </xf>
    <xf numFmtId="0" fontId="75" fillId="33" borderId="0" xfId="0" applyFont="1" applyFill="1" applyBorder="1" applyAlignment="1" applyProtection="1">
      <alignment horizontal="left" vertical="center"/>
      <protection hidden="1"/>
    </xf>
    <xf numFmtId="0" fontId="67" fillId="33" borderId="0" xfId="0" applyFont="1" applyFill="1" applyBorder="1" applyAlignment="1" applyProtection="1">
      <alignment horizontal="center" vertical="center"/>
      <protection hidden="1"/>
    </xf>
    <xf numFmtId="0" fontId="114" fillId="33" borderId="0" xfId="0" applyFont="1" applyFill="1" applyBorder="1" applyAlignment="1" applyProtection="1">
      <alignment horizontal="left" vertical="center"/>
      <protection hidden="1"/>
    </xf>
    <xf numFmtId="0" fontId="114" fillId="33" borderId="0" xfId="0" applyFont="1" applyFill="1" applyBorder="1" applyAlignment="1" applyProtection="1">
      <alignment horizontal="right" vertical="center"/>
      <protection hidden="1"/>
    </xf>
    <xf numFmtId="0" fontId="50" fillId="36" borderId="64" xfId="0" applyNumberFormat="1" applyFont="1" applyFill="1" applyBorder="1" applyAlignment="1">
      <alignment horizontal="left"/>
    </xf>
    <xf numFmtId="0" fontId="50" fillId="37" borderId="15" xfId="0" applyFont="1" applyFill="1" applyBorder="1" applyAlignment="1">
      <alignment horizontal="left"/>
    </xf>
    <xf numFmtId="0" fontId="0" fillId="34" borderId="10" xfId="0" applyFill="1" applyBorder="1" applyAlignment="1" applyProtection="1">
      <alignment/>
      <protection hidden="1"/>
    </xf>
    <xf numFmtId="0" fontId="38" fillId="33" borderId="0" xfId="0" applyFont="1" applyFill="1" applyBorder="1" applyAlignment="1" applyProtection="1">
      <alignment/>
      <protection hidden="1"/>
    </xf>
    <xf numFmtId="0" fontId="28" fillId="0" borderId="50" xfId="0" applyFont="1" applyBorder="1" applyAlignment="1" applyProtection="1">
      <alignment/>
      <protection hidden="1"/>
    </xf>
    <xf numFmtId="0" fontId="0" fillId="0" borderId="23" xfId="0" applyFill="1" applyBorder="1" applyAlignment="1" applyProtection="1">
      <alignment/>
      <protection hidden="1"/>
    </xf>
    <xf numFmtId="0" fontId="0" fillId="0" borderId="38" xfId="0" applyBorder="1" applyAlignment="1" applyProtection="1">
      <alignment/>
      <protection hidden="1"/>
    </xf>
    <xf numFmtId="0" fontId="0" fillId="0" borderId="39" xfId="0" applyFill="1" applyBorder="1" applyAlignment="1" applyProtection="1">
      <alignment/>
      <protection hidden="1"/>
    </xf>
    <xf numFmtId="0" fontId="7" fillId="34" borderId="0" xfId="0" applyFont="1" applyFill="1" applyBorder="1" applyAlignment="1" applyProtection="1">
      <alignment horizontal="center"/>
      <protection hidden="1"/>
    </xf>
    <xf numFmtId="0" fontId="28" fillId="33" borderId="65" xfId="0" applyFont="1" applyFill="1" applyBorder="1" applyAlignment="1" applyProtection="1">
      <alignment horizontal="center"/>
      <protection locked="0"/>
    </xf>
    <xf numFmtId="0" fontId="38" fillId="33" borderId="13" xfId="0" applyFont="1" applyFill="1" applyBorder="1" applyAlignment="1" applyProtection="1">
      <alignment/>
      <protection hidden="1"/>
    </xf>
    <xf numFmtId="0" fontId="38" fillId="33" borderId="12" xfId="0" applyNumberFormat="1" applyFont="1" applyFill="1" applyBorder="1" applyAlignment="1" applyProtection="1">
      <alignment/>
      <protection hidden="1"/>
    </xf>
    <xf numFmtId="0" fontId="38" fillId="33" borderId="12" xfId="0" applyFont="1" applyFill="1" applyBorder="1" applyAlignment="1" applyProtection="1">
      <alignment/>
      <protection hidden="1"/>
    </xf>
    <xf numFmtId="0" fontId="0" fillId="0" borderId="0" xfId="0" applyFill="1" applyAlignment="1">
      <alignment/>
    </xf>
    <xf numFmtId="0" fontId="36" fillId="33" borderId="23" xfId="0" applyFont="1" applyFill="1" applyBorder="1" applyAlignment="1" applyProtection="1">
      <alignment/>
      <protection hidden="1"/>
    </xf>
    <xf numFmtId="0" fontId="32" fillId="34" borderId="10" xfId="0" applyFont="1" applyFill="1" applyBorder="1" applyAlignment="1" applyProtection="1">
      <alignment/>
      <protection hidden="1"/>
    </xf>
    <xf numFmtId="0" fontId="116" fillId="34" borderId="12" xfId="0" applyFont="1" applyFill="1" applyBorder="1" applyAlignment="1" applyProtection="1">
      <alignment horizontal="center"/>
      <protection hidden="1"/>
    </xf>
    <xf numFmtId="0" fontId="48" fillId="33" borderId="12" xfId="0" applyFont="1" applyFill="1" applyBorder="1" applyAlignment="1" applyProtection="1">
      <alignment/>
      <protection hidden="1"/>
    </xf>
    <xf numFmtId="0" fontId="14" fillId="0" borderId="0" xfId="0" applyFont="1" applyAlignment="1">
      <alignment/>
    </xf>
    <xf numFmtId="0" fontId="28" fillId="0" borderId="12" xfId="0" applyFont="1" applyBorder="1" applyAlignment="1" applyProtection="1">
      <alignment/>
      <protection hidden="1"/>
    </xf>
    <xf numFmtId="0" fontId="13" fillId="33" borderId="66" xfId="0" applyFont="1" applyFill="1" applyBorder="1" applyAlignment="1" applyProtection="1">
      <alignment horizontal="left"/>
      <protection hidden="1"/>
    </xf>
    <xf numFmtId="0" fontId="7" fillId="0" borderId="23" xfId="0" applyFont="1" applyBorder="1" applyAlignment="1" applyProtection="1">
      <alignment/>
      <protection hidden="1"/>
    </xf>
    <xf numFmtId="0" fontId="13" fillId="0" borderId="18" xfId="0" applyFont="1" applyBorder="1" applyAlignment="1" applyProtection="1">
      <alignment horizontal="left"/>
      <protection hidden="1"/>
    </xf>
    <xf numFmtId="0" fontId="7" fillId="0" borderId="12" xfId="0" applyFont="1" applyBorder="1" applyAlignment="1" applyProtection="1">
      <alignment/>
      <protection hidden="1"/>
    </xf>
    <xf numFmtId="0" fontId="7" fillId="0" borderId="67" xfId="0" applyNumberFormat="1" applyFont="1" applyFill="1" applyBorder="1" applyAlignment="1" applyProtection="1">
      <alignment horizontal="center"/>
      <protection locked="0"/>
    </xf>
    <xf numFmtId="0" fontId="17" fillId="0" borderId="20" xfId="0" applyFont="1" applyBorder="1" applyAlignment="1" applyProtection="1">
      <alignment horizontal="right"/>
      <protection hidden="1"/>
    </xf>
    <xf numFmtId="0" fontId="38" fillId="33" borderId="0" xfId="0" applyFont="1" applyFill="1" applyBorder="1" applyAlignment="1" applyProtection="1">
      <alignment/>
      <protection hidden="1"/>
    </xf>
    <xf numFmtId="0" fontId="118" fillId="33" borderId="0" xfId="0" applyFont="1" applyFill="1" applyBorder="1" applyAlignment="1" applyProtection="1">
      <alignment horizontal="left"/>
      <protection hidden="1"/>
    </xf>
    <xf numFmtId="0" fontId="7" fillId="0" borderId="68" xfId="0" applyNumberFormat="1" applyFont="1" applyBorder="1" applyAlignment="1" applyProtection="1">
      <alignment horizontal="center"/>
      <protection locked="0"/>
    </xf>
    <xf numFmtId="0" fontId="7" fillId="0" borderId="30" xfId="0" applyNumberFormat="1" applyFont="1" applyFill="1" applyBorder="1" applyAlignment="1" applyProtection="1">
      <alignment horizontal="center"/>
      <protection locked="0"/>
    </xf>
    <xf numFmtId="0" fontId="119" fillId="33" borderId="0" xfId="0" applyFont="1" applyFill="1" applyBorder="1" applyAlignment="1" applyProtection="1">
      <alignment/>
      <protection hidden="1"/>
    </xf>
    <xf numFmtId="0" fontId="33" fillId="0" borderId="42" xfId="0" applyFont="1" applyFill="1" applyBorder="1" applyAlignment="1" applyProtection="1">
      <alignment horizontal="right"/>
      <protection/>
    </xf>
    <xf numFmtId="0" fontId="51" fillId="36" borderId="13" xfId="0" applyNumberFormat="1" applyFont="1" applyFill="1" applyBorder="1" applyAlignment="1" applyProtection="1">
      <alignment horizontal="left"/>
      <protection/>
    </xf>
    <xf numFmtId="0" fontId="55" fillId="0" borderId="46" xfId="0" applyFont="1" applyFill="1" applyBorder="1" applyAlignment="1" applyProtection="1">
      <alignment horizontal="center"/>
      <protection/>
    </xf>
    <xf numFmtId="0" fontId="55" fillId="0" borderId="12" xfId="0" applyFont="1" applyFill="1" applyBorder="1" applyAlignment="1" applyProtection="1">
      <alignment horizontal="center"/>
      <protection/>
    </xf>
    <xf numFmtId="0" fontId="55" fillId="0" borderId="38" xfId="0" applyFont="1" applyFill="1" applyBorder="1" applyAlignment="1" applyProtection="1">
      <alignment horizontal="left" wrapText="1"/>
      <protection/>
    </xf>
    <xf numFmtId="173" fontId="45" fillId="36" borderId="10" xfId="0" applyNumberFormat="1" applyFont="1" applyFill="1" applyBorder="1" applyAlignment="1" applyProtection="1">
      <alignment horizontal="left"/>
      <protection/>
    </xf>
    <xf numFmtId="0" fontId="13" fillId="0" borderId="38" xfId="0" applyFont="1" applyBorder="1" applyAlignment="1" applyProtection="1">
      <alignment horizontal="left" wrapText="1"/>
      <protection/>
    </xf>
    <xf numFmtId="0" fontId="13" fillId="0" borderId="40" xfId="0" applyFont="1" applyBorder="1" applyAlignment="1" applyProtection="1">
      <alignment horizontal="left" wrapText="1"/>
      <protection/>
    </xf>
    <xf numFmtId="0" fontId="52" fillId="0" borderId="0" xfId="0" applyFont="1" applyAlignment="1">
      <alignment/>
    </xf>
    <xf numFmtId="0" fontId="120" fillId="36" borderId="10" xfId="0" applyNumberFormat="1" applyFont="1" applyFill="1" applyBorder="1" applyAlignment="1" applyProtection="1">
      <alignment horizontal="left"/>
      <protection/>
    </xf>
    <xf numFmtId="0" fontId="121" fillId="0" borderId="42" xfId="0" applyFont="1" applyFill="1" applyBorder="1" applyAlignment="1" applyProtection="1">
      <alignment horizontal="center"/>
      <protection/>
    </xf>
    <xf numFmtId="0" fontId="121" fillId="0" borderId="0" xfId="0" applyFont="1" applyFill="1" applyBorder="1" applyAlignment="1" applyProtection="1">
      <alignment horizontal="center"/>
      <protection/>
    </xf>
    <xf numFmtId="0" fontId="121" fillId="0" borderId="40" xfId="0" applyFont="1" applyBorder="1" applyAlignment="1" applyProtection="1">
      <alignment horizontal="left" wrapText="1"/>
      <protection/>
    </xf>
    <xf numFmtId="0" fontId="110" fillId="36" borderId="10" xfId="0" applyNumberFormat="1" applyFont="1" applyFill="1" applyBorder="1" applyAlignment="1" applyProtection="1">
      <alignment horizontal="left"/>
      <protection/>
    </xf>
    <xf numFmtId="0" fontId="119" fillId="0" borderId="42" xfId="0" applyFont="1" applyFill="1" applyBorder="1" applyAlignment="1" applyProtection="1">
      <alignment horizontal="center"/>
      <protection/>
    </xf>
    <xf numFmtId="0" fontId="119" fillId="0" borderId="0" xfId="0" applyFont="1" applyFill="1" applyBorder="1" applyAlignment="1" applyProtection="1">
      <alignment horizontal="center"/>
      <protection/>
    </xf>
    <xf numFmtId="0" fontId="119" fillId="0" borderId="40" xfId="0" applyFont="1" applyBorder="1" applyAlignment="1" applyProtection="1">
      <alignment horizontal="left" wrapText="1"/>
      <protection/>
    </xf>
    <xf numFmtId="0" fontId="0" fillId="40" borderId="13" xfId="0" applyFill="1" applyBorder="1" applyAlignment="1">
      <alignment horizontal="center"/>
    </xf>
    <xf numFmtId="0" fontId="0" fillId="40" borderId="10" xfId="0" applyFill="1" applyBorder="1" applyAlignment="1">
      <alignment horizontal="center"/>
    </xf>
    <xf numFmtId="0" fontId="0" fillId="40" borderId="69" xfId="0" applyFill="1" applyBorder="1" applyAlignment="1">
      <alignment horizontal="center"/>
    </xf>
    <xf numFmtId="0" fontId="0" fillId="40" borderId="22" xfId="0" applyFill="1" applyBorder="1" applyAlignment="1">
      <alignment horizontal="center"/>
    </xf>
    <xf numFmtId="0" fontId="67" fillId="33" borderId="0" xfId="0" applyFont="1" applyFill="1" applyBorder="1" applyAlignment="1" applyProtection="1">
      <alignment horizontal="right" wrapText="1"/>
      <protection/>
    </xf>
    <xf numFmtId="0" fontId="45" fillId="40" borderId="10" xfId="0" applyFont="1" applyFill="1" applyBorder="1" applyAlignment="1">
      <alignment horizontal="center"/>
    </xf>
    <xf numFmtId="0" fontId="0" fillId="35" borderId="10" xfId="0" applyNumberFormat="1" applyFill="1" applyBorder="1" applyAlignment="1">
      <alignment horizontal="center"/>
    </xf>
    <xf numFmtId="0" fontId="54" fillId="41" borderId="10" xfId="0" applyFont="1" applyFill="1" applyBorder="1" applyAlignment="1">
      <alignment horizontal="center"/>
    </xf>
    <xf numFmtId="0" fontId="0" fillId="35" borderId="10" xfId="0" applyFill="1" applyBorder="1" applyAlignment="1">
      <alignment horizontal="center"/>
    </xf>
    <xf numFmtId="0" fontId="0" fillId="35" borderId="69" xfId="0" applyFill="1" applyBorder="1" applyAlignment="1">
      <alignment horizontal="center"/>
    </xf>
    <xf numFmtId="0" fontId="0" fillId="41" borderId="13" xfId="0" applyNumberFormat="1" applyFill="1" applyBorder="1" applyAlignment="1">
      <alignment horizontal="center"/>
    </xf>
    <xf numFmtId="0" fontId="0" fillId="41" borderId="10" xfId="0" applyNumberFormat="1" applyFill="1" applyBorder="1" applyAlignment="1">
      <alignment horizontal="center"/>
    </xf>
    <xf numFmtId="0" fontId="0" fillId="41" borderId="69" xfId="0" applyNumberFormat="1" applyFill="1" applyBorder="1" applyAlignment="1">
      <alignment horizontal="center"/>
    </xf>
    <xf numFmtId="0" fontId="0" fillId="41" borderId="22" xfId="0" applyNumberFormat="1" applyFill="1" applyBorder="1" applyAlignment="1">
      <alignment horizontal="center"/>
    </xf>
    <xf numFmtId="0" fontId="33" fillId="0" borderId="41" xfId="0" applyFont="1" applyBorder="1" applyAlignment="1">
      <alignment horizontal="center" wrapText="1"/>
    </xf>
    <xf numFmtId="0" fontId="45" fillId="40" borderId="22" xfId="0" applyFont="1" applyFill="1" applyBorder="1" applyAlignment="1">
      <alignment horizontal="center"/>
    </xf>
    <xf numFmtId="0" fontId="54" fillId="41" borderId="22" xfId="0" applyFont="1" applyFill="1" applyBorder="1" applyAlignment="1">
      <alignment horizontal="center"/>
    </xf>
    <xf numFmtId="0" fontId="122" fillId="41" borderId="13" xfId="0" applyFont="1" applyFill="1" applyBorder="1" applyAlignment="1">
      <alignment horizontal="center"/>
    </xf>
    <xf numFmtId="0" fontId="16" fillId="35" borderId="10" xfId="0" applyNumberFormat="1" applyFont="1" applyFill="1" applyBorder="1" applyAlignment="1">
      <alignment horizontal="center"/>
    </xf>
    <xf numFmtId="0" fontId="123" fillId="40" borderId="13" xfId="0" applyFont="1" applyFill="1" applyBorder="1" applyAlignment="1">
      <alignment horizontal="center"/>
    </xf>
    <xf numFmtId="0" fontId="7" fillId="33" borderId="43" xfId="0" applyFont="1" applyFill="1" applyBorder="1" applyAlignment="1" applyProtection="1">
      <alignment horizontal="center"/>
      <protection hidden="1"/>
    </xf>
    <xf numFmtId="0" fontId="80" fillId="33" borderId="56" xfId="0" applyFont="1" applyFill="1" applyBorder="1" applyAlignment="1" applyProtection="1">
      <alignment horizontal="left"/>
      <protection hidden="1"/>
    </xf>
    <xf numFmtId="0" fontId="80" fillId="33" borderId="11" xfId="0" applyFont="1" applyFill="1" applyBorder="1" applyAlignment="1" applyProtection="1">
      <alignment horizontal="left"/>
      <protection hidden="1"/>
    </xf>
    <xf numFmtId="0" fontId="90" fillId="33" borderId="0" xfId="0" applyFont="1" applyFill="1" applyBorder="1" applyAlignment="1" applyProtection="1">
      <alignment horizontal="center"/>
      <protection hidden="1"/>
    </xf>
    <xf numFmtId="0" fontId="65" fillId="33" borderId="62" xfId="0" applyFont="1" applyFill="1" applyBorder="1" applyAlignment="1" applyProtection="1">
      <alignment horizontal="left"/>
      <protection hidden="1"/>
    </xf>
    <xf numFmtId="0" fontId="65" fillId="33" borderId="56" xfId="0" applyFont="1" applyFill="1" applyBorder="1" applyAlignment="1" applyProtection="1">
      <alignment horizontal="left"/>
      <protection hidden="1"/>
    </xf>
    <xf numFmtId="0" fontId="65" fillId="33" borderId="11" xfId="0" applyFont="1" applyFill="1" applyBorder="1" applyAlignment="1" applyProtection="1">
      <alignment horizontal="left"/>
      <protection hidden="1"/>
    </xf>
    <xf numFmtId="49" fontId="65" fillId="33" borderId="0" xfId="0" applyNumberFormat="1" applyFont="1" applyFill="1" applyBorder="1" applyAlignment="1" applyProtection="1">
      <alignment horizontal="left"/>
      <protection hidden="1"/>
    </xf>
    <xf numFmtId="1" fontId="96" fillId="33" borderId="0" xfId="0" applyNumberFormat="1" applyFont="1" applyFill="1" applyBorder="1" applyAlignment="1" applyProtection="1">
      <alignment horizontal="left"/>
      <protection hidden="1"/>
    </xf>
    <xf numFmtId="0" fontId="94" fillId="33" borderId="0" xfId="0" applyFont="1" applyFill="1" applyBorder="1" applyAlignment="1" applyProtection="1">
      <alignment horizontal="left"/>
      <protection hidden="1" locked="0"/>
    </xf>
    <xf numFmtId="0" fontId="48" fillId="33" borderId="0" xfId="0" applyFont="1" applyFill="1" applyBorder="1" applyAlignment="1" applyProtection="1">
      <alignment/>
      <protection hidden="1" locked="0"/>
    </xf>
    <xf numFmtId="49" fontId="48" fillId="33" borderId="0" xfId="0" applyNumberFormat="1" applyFont="1" applyFill="1" applyBorder="1" applyAlignment="1" applyProtection="1">
      <alignment horizontal="right"/>
      <protection hidden="1" locked="0"/>
    </xf>
    <xf numFmtId="0" fontId="48" fillId="33" borderId="0" xfId="0" applyFont="1" applyFill="1" applyBorder="1" applyAlignment="1" applyProtection="1">
      <alignment horizontal="right"/>
      <protection hidden="1" locked="0"/>
    </xf>
    <xf numFmtId="0" fontId="48" fillId="33" borderId="0" xfId="0" applyFont="1" applyFill="1" applyBorder="1" applyAlignment="1" applyProtection="1">
      <alignment horizontal="center"/>
      <protection hidden="1" locked="0"/>
    </xf>
    <xf numFmtId="0" fontId="48" fillId="33" borderId="0" xfId="0" applyFont="1" applyFill="1" applyBorder="1" applyAlignment="1" applyProtection="1">
      <alignment horizontal="left"/>
      <protection hidden="1" locked="0"/>
    </xf>
    <xf numFmtId="49" fontId="99" fillId="33" borderId="0" xfId="0" applyNumberFormat="1" applyFont="1" applyFill="1" applyBorder="1" applyAlignment="1" applyProtection="1">
      <alignment horizontal="left"/>
      <protection hidden="1" locked="0"/>
    </xf>
    <xf numFmtId="0" fontId="48" fillId="33" borderId="0" xfId="0" applyNumberFormat="1" applyFont="1" applyFill="1" applyBorder="1" applyAlignment="1" applyProtection="1">
      <alignment horizontal="center"/>
      <protection hidden="1" locked="0"/>
    </xf>
    <xf numFmtId="0" fontId="75" fillId="33" borderId="0" xfId="0" applyFont="1" applyFill="1" applyBorder="1" applyAlignment="1" applyProtection="1">
      <alignment/>
      <protection hidden="1" locked="0"/>
    </xf>
    <xf numFmtId="0" fontId="41" fillId="33" borderId="0" xfId="0" applyFont="1" applyFill="1" applyBorder="1" applyAlignment="1" applyProtection="1">
      <alignment horizontal="left"/>
      <protection hidden="1" locked="0"/>
    </xf>
    <xf numFmtId="0" fontId="23" fillId="33" borderId="0" xfId="0" applyFont="1" applyFill="1" applyBorder="1" applyAlignment="1" applyProtection="1">
      <alignment horizontal="left"/>
      <protection hidden="1" locked="0"/>
    </xf>
    <xf numFmtId="1" fontId="48" fillId="33" borderId="0" xfId="0" applyNumberFormat="1" applyFont="1" applyFill="1" applyBorder="1" applyAlignment="1" applyProtection="1">
      <alignment horizontal="left"/>
      <protection hidden="1" locked="0"/>
    </xf>
    <xf numFmtId="2" fontId="48" fillId="33" borderId="0" xfId="0" applyNumberFormat="1" applyFont="1" applyFill="1" applyBorder="1" applyAlignment="1" applyProtection="1">
      <alignment horizontal="center"/>
      <protection hidden="1" locked="0"/>
    </xf>
    <xf numFmtId="49" fontId="99" fillId="33" borderId="0" xfId="0" applyNumberFormat="1" applyFont="1" applyFill="1" applyBorder="1" applyAlignment="1" applyProtection="1">
      <alignment horizontal="right"/>
      <protection hidden="1" locked="0"/>
    </xf>
    <xf numFmtId="0" fontId="65" fillId="33" borderId="0" xfId="0" applyFont="1" applyFill="1" applyBorder="1" applyAlignment="1" applyProtection="1">
      <alignment/>
      <protection hidden="1" locked="0"/>
    </xf>
    <xf numFmtId="0" fontId="100" fillId="33" borderId="0" xfId="0" applyFont="1" applyFill="1" applyBorder="1" applyAlignment="1" applyProtection="1">
      <alignment horizontal="right"/>
      <protection hidden="1" locked="0"/>
    </xf>
    <xf numFmtId="0" fontId="69" fillId="33" borderId="0" xfId="0" applyFont="1" applyFill="1" applyBorder="1" applyAlignment="1" applyProtection="1">
      <alignment/>
      <protection hidden="1" locked="0"/>
    </xf>
    <xf numFmtId="0" fontId="28" fillId="33" borderId="0" xfId="0" applyFont="1" applyFill="1" applyBorder="1" applyAlignment="1" applyProtection="1">
      <alignment horizontal="center"/>
      <protection hidden="1" locked="0"/>
    </xf>
    <xf numFmtId="0" fontId="90" fillId="33" borderId="0" xfId="0" applyFont="1" applyFill="1" applyBorder="1" applyAlignment="1" applyProtection="1">
      <alignment/>
      <protection hidden="1" locked="0"/>
    </xf>
    <xf numFmtId="0" fontId="0" fillId="33" borderId="0" xfId="0" applyFill="1" applyAlignment="1">
      <alignment/>
    </xf>
    <xf numFmtId="9" fontId="37" fillId="33" borderId="11" xfId="0" applyNumberFormat="1" applyFont="1" applyFill="1" applyBorder="1" applyAlignment="1" applyProtection="1">
      <alignment/>
      <protection hidden="1" locked="0"/>
    </xf>
    <xf numFmtId="173" fontId="48" fillId="33" borderId="11" xfId="0" applyNumberFormat="1" applyFont="1" applyFill="1" applyBorder="1" applyAlignment="1" applyProtection="1">
      <alignment horizontal="center"/>
      <protection hidden="1" locked="0"/>
    </xf>
    <xf numFmtId="0" fontId="24" fillId="33" borderId="12" xfId="0" applyFont="1" applyFill="1" applyBorder="1" applyAlignment="1" applyProtection="1">
      <alignment horizontal="center"/>
      <protection locked="0"/>
    </xf>
    <xf numFmtId="0" fontId="24" fillId="33" borderId="0" xfId="0" applyFont="1" applyFill="1" applyBorder="1" applyAlignment="1" applyProtection="1">
      <alignment horizontal="center"/>
      <protection locked="0"/>
    </xf>
    <xf numFmtId="9" fontId="37" fillId="33" borderId="0" xfId="0" applyNumberFormat="1" applyFont="1" applyFill="1" applyBorder="1" applyAlignment="1" applyProtection="1">
      <alignment/>
      <protection hidden="1" locked="0"/>
    </xf>
    <xf numFmtId="0" fontId="28" fillId="33" borderId="0" xfId="0" applyFont="1" applyFill="1" applyBorder="1" applyAlignment="1" applyProtection="1">
      <alignment/>
      <protection locked="0"/>
    </xf>
    <xf numFmtId="0" fontId="28" fillId="33" borderId="0" xfId="0" applyFont="1" applyFill="1" applyBorder="1" applyAlignment="1" applyProtection="1">
      <alignment horizontal="right"/>
      <protection locked="0"/>
    </xf>
    <xf numFmtId="0" fontId="28" fillId="33" borderId="0" xfId="0" applyFont="1" applyFill="1" applyBorder="1" applyAlignment="1" applyProtection="1">
      <alignment horizontal="left"/>
      <protection locked="0"/>
    </xf>
    <xf numFmtId="49" fontId="75" fillId="33" borderId="0" xfId="0" applyNumberFormat="1" applyFont="1" applyFill="1" applyBorder="1" applyAlignment="1" applyProtection="1">
      <alignment horizontal="left"/>
      <protection locked="0"/>
    </xf>
    <xf numFmtId="173" fontId="48" fillId="33" borderId="0" xfId="0" applyNumberFormat="1" applyFont="1" applyFill="1" applyBorder="1" applyAlignment="1" applyProtection="1">
      <alignment horizontal="center"/>
      <protection hidden="1" locked="0"/>
    </xf>
    <xf numFmtId="0" fontId="0" fillId="41" borderId="10" xfId="0" applyFill="1" applyBorder="1" applyAlignment="1">
      <alignment horizontal="center"/>
    </xf>
    <xf numFmtId="0" fontId="37" fillId="33" borderId="29" xfId="0" applyFont="1" applyFill="1" applyBorder="1" applyAlignment="1" applyProtection="1">
      <alignment horizontal="center"/>
      <protection hidden="1"/>
    </xf>
    <xf numFmtId="0" fontId="37" fillId="33" borderId="33" xfId="0" applyFont="1" applyFill="1" applyBorder="1" applyAlignment="1" applyProtection="1">
      <alignment horizontal="center"/>
      <protection hidden="1"/>
    </xf>
    <xf numFmtId="0" fontId="0" fillId="0" borderId="0" xfId="0" applyAlignment="1">
      <alignment horizontal="center"/>
    </xf>
    <xf numFmtId="0" fontId="94" fillId="33" borderId="0" xfId="0" applyFont="1" applyFill="1" applyBorder="1" applyAlignment="1" applyProtection="1">
      <alignment/>
      <protection hidden="1" locked="0"/>
    </xf>
    <xf numFmtId="0" fontId="37" fillId="33" borderId="70" xfId="0" applyFont="1" applyFill="1" applyBorder="1" applyAlignment="1" applyProtection="1">
      <alignment horizontal="center"/>
      <protection hidden="1"/>
    </xf>
    <xf numFmtId="0" fontId="0" fillId="0" borderId="0" xfId="0" applyFont="1" applyBorder="1" applyAlignment="1" applyProtection="1">
      <alignment/>
      <protection hidden="1"/>
    </xf>
    <xf numFmtId="0" fontId="127" fillId="33" borderId="0" xfId="0" applyFont="1" applyFill="1" applyBorder="1" applyAlignment="1" applyProtection="1">
      <alignment/>
      <protection hidden="1"/>
    </xf>
    <xf numFmtId="0" fontId="45" fillId="33" borderId="0" xfId="0" applyFont="1" applyFill="1" applyBorder="1" applyAlignment="1" applyProtection="1">
      <alignment/>
      <protection hidden="1"/>
    </xf>
    <xf numFmtId="0" fontId="0" fillId="34" borderId="12" xfId="0" applyFill="1" applyBorder="1" applyAlignment="1" applyProtection="1">
      <alignment/>
      <protection hidden="1"/>
    </xf>
    <xf numFmtId="0" fontId="0" fillId="34" borderId="38" xfId="0" applyFill="1" applyBorder="1" applyAlignment="1" applyProtection="1">
      <alignment/>
      <protection hidden="1"/>
    </xf>
    <xf numFmtId="0" fontId="48" fillId="36" borderId="46" xfId="0" applyNumberFormat="1" applyFont="1" applyFill="1" applyBorder="1" applyAlignment="1">
      <alignment horizontal="right"/>
    </xf>
    <xf numFmtId="0" fontId="48" fillId="37" borderId="46" xfId="0" applyFont="1" applyFill="1" applyBorder="1" applyAlignment="1">
      <alignment horizontal="right"/>
    </xf>
    <xf numFmtId="0" fontId="0" fillId="0" borderId="12" xfId="0" applyBorder="1" applyAlignment="1">
      <alignment/>
    </xf>
    <xf numFmtId="0" fontId="0" fillId="0" borderId="0" xfId="0" applyBorder="1" applyAlignment="1">
      <alignment/>
    </xf>
    <xf numFmtId="0" fontId="48" fillId="0" borderId="12" xfId="0" applyNumberFormat="1" applyFont="1" applyBorder="1" applyAlignment="1">
      <alignment horizontal="right"/>
    </xf>
    <xf numFmtId="0" fontId="0" fillId="0" borderId="12" xfId="0" applyBorder="1" applyAlignment="1">
      <alignment horizontal="right"/>
    </xf>
    <xf numFmtId="0" fontId="7" fillId="0" borderId="12" xfId="0" applyFont="1" applyBorder="1" applyAlignment="1" applyProtection="1">
      <alignment/>
      <protection hidden="1"/>
    </xf>
    <xf numFmtId="0" fontId="7" fillId="37" borderId="23" xfId="0" applyFont="1" applyFill="1" applyBorder="1" applyAlignment="1" applyProtection="1">
      <alignment/>
      <protection locked="0"/>
    </xf>
    <xf numFmtId="0" fontId="7" fillId="37" borderId="15" xfId="0" applyNumberFormat="1" applyFont="1" applyFill="1" applyBorder="1" applyAlignment="1" applyProtection="1">
      <alignment horizontal="center"/>
      <protection hidden="1"/>
    </xf>
    <xf numFmtId="0" fontId="7" fillId="37" borderId="15" xfId="0" applyFont="1" applyFill="1" applyBorder="1" applyAlignment="1" applyProtection="1">
      <alignment horizontal="center"/>
      <protection hidden="1"/>
    </xf>
    <xf numFmtId="0" fontId="13" fillId="37" borderId="47" xfId="0" applyFont="1" applyFill="1" applyBorder="1" applyAlignment="1" applyProtection="1">
      <alignment horizontal="center"/>
      <protection hidden="1"/>
    </xf>
    <xf numFmtId="0" fontId="7" fillId="37" borderId="21" xfId="0" applyNumberFormat="1" applyFont="1" applyFill="1" applyBorder="1" applyAlignment="1" applyProtection="1">
      <alignment horizontal="center"/>
      <protection hidden="1"/>
    </xf>
    <xf numFmtId="0" fontId="7" fillId="37" borderId="21" xfId="0" applyFont="1" applyFill="1" applyBorder="1" applyAlignment="1" applyProtection="1">
      <alignment horizontal="center"/>
      <protection hidden="1"/>
    </xf>
    <xf numFmtId="0" fontId="13" fillId="37" borderId="53" xfId="0" applyFont="1" applyFill="1" applyBorder="1" applyAlignment="1" applyProtection="1">
      <alignment horizontal="center"/>
      <protection hidden="1"/>
    </xf>
    <xf numFmtId="0" fontId="7" fillId="37" borderId="64" xfId="0" applyNumberFormat="1" applyFont="1" applyFill="1" applyBorder="1" applyAlignment="1" applyProtection="1">
      <alignment horizontal="center"/>
      <protection hidden="1"/>
    </xf>
    <xf numFmtId="0" fontId="7" fillId="37" borderId="64" xfId="0" applyFont="1" applyFill="1" applyBorder="1" applyAlignment="1" applyProtection="1">
      <alignment horizontal="center"/>
      <protection hidden="1"/>
    </xf>
    <xf numFmtId="0" fontId="13" fillId="37" borderId="48" xfId="0" applyFont="1" applyFill="1" applyBorder="1" applyAlignment="1" applyProtection="1">
      <alignment horizontal="center"/>
      <protection hidden="1"/>
    </xf>
    <xf numFmtId="0" fontId="72" fillId="33" borderId="12" xfId="0" applyFont="1" applyFill="1" applyBorder="1" applyAlignment="1" applyProtection="1">
      <alignment/>
      <protection locked="0"/>
    </xf>
    <xf numFmtId="0" fontId="13" fillId="33" borderId="71" xfId="0" applyFont="1" applyFill="1" applyBorder="1" applyAlignment="1" applyProtection="1">
      <alignment horizontal="center"/>
      <protection hidden="1"/>
    </xf>
    <xf numFmtId="0" fontId="40" fillId="0" borderId="14" xfId="0" applyFont="1" applyFill="1" applyBorder="1" applyAlignment="1" applyProtection="1">
      <alignment horizontal="center"/>
      <protection hidden="1"/>
    </xf>
    <xf numFmtId="0" fontId="40" fillId="0" borderId="35" xfId="0" applyFont="1" applyFill="1" applyBorder="1" applyAlignment="1" applyProtection="1">
      <alignment horizontal="center"/>
      <protection hidden="1"/>
    </xf>
    <xf numFmtId="0" fontId="128" fillId="33" borderId="0" xfId="0" applyFont="1" applyFill="1" applyBorder="1" applyAlignment="1" applyProtection="1">
      <alignment horizontal="left"/>
      <protection hidden="1"/>
    </xf>
    <xf numFmtId="175" fontId="45" fillId="0" borderId="0" xfId="0" applyNumberFormat="1" applyFont="1" applyBorder="1" applyAlignment="1" applyProtection="1">
      <alignment horizontal="left"/>
      <protection/>
    </xf>
    <xf numFmtId="0" fontId="28" fillId="0" borderId="0" xfId="0" applyFont="1" applyAlignment="1">
      <alignment horizontal="right"/>
    </xf>
    <xf numFmtId="0" fontId="48" fillId="33" borderId="0" xfId="0" applyFont="1" applyFill="1" applyBorder="1" applyAlignment="1" applyProtection="1">
      <alignment/>
      <protection locked="0"/>
    </xf>
    <xf numFmtId="49" fontId="48" fillId="33" borderId="0" xfId="0" applyNumberFormat="1" applyFont="1" applyFill="1" applyBorder="1" applyAlignment="1" applyProtection="1">
      <alignment horizontal="right"/>
      <protection locked="0"/>
    </xf>
    <xf numFmtId="0" fontId="48" fillId="33" borderId="0" xfId="0" applyFont="1" applyFill="1" applyBorder="1" applyAlignment="1" applyProtection="1">
      <alignment horizontal="right"/>
      <protection locked="0"/>
    </xf>
    <xf numFmtId="0" fontId="48" fillId="33" borderId="0" xfId="0" applyFont="1" applyFill="1" applyBorder="1" applyAlignment="1" applyProtection="1">
      <alignment horizontal="center"/>
      <protection locked="0"/>
    </xf>
    <xf numFmtId="0" fontId="48" fillId="33" borderId="0" xfId="0" applyFont="1" applyFill="1" applyBorder="1" applyAlignment="1" applyProtection="1">
      <alignment horizontal="left"/>
      <protection locked="0"/>
    </xf>
    <xf numFmtId="49" fontId="99" fillId="33" borderId="0" xfId="0" applyNumberFormat="1" applyFont="1" applyFill="1" applyBorder="1" applyAlignment="1" applyProtection="1">
      <alignment horizontal="right"/>
      <protection locked="0"/>
    </xf>
    <xf numFmtId="0" fontId="48" fillId="33" borderId="0" xfId="0" applyNumberFormat="1" applyFont="1" applyFill="1" applyBorder="1" applyAlignment="1" applyProtection="1">
      <alignment horizontal="center"/>
      <protection locked="0"/>
    </xf>
    <xf numFmtId="0" fontId="0" fillId="33" borderId="0" xfId="0" applyFill="1" applyAlignment="1" applyProtection="1">
      <alignment/>
      <protection locked="0"/>
    </xf>
    <xf numFmtId="49" fontId="99" fillId="33" borderId="0" xfId="0" applyNumberFormat="1" applyFont="1" applyFill="1" applyBorder="1" applyAlignment="1" applyProtection="1">
      <alignment horizontal="left"/>
      <protection locked="0"/>
    </xf>
    <xf numFmtId="2" fontId="48" fillId="33" borderId="0" xfId="0" applyNumberFormat="1" applyFont="1" applyFill="1" applyBorder="1" applyAlignment="1" applyProtection="1">
      <alignment horizontal="center"/>
      <protection locked="0"/>
    </xf>
    <xf numFmtId="0" fontId="65" fillId="33" borderId="0" xfId="0" applyFont="1" applyFill="1" applyBorder="1" applyAlignment="1" applyProtection="1">
      <alignment/>
      <protection locked="0"/>
    </xf>
    <xf numFmtId="1" fontId="48" fillId="33" borderId="0" xfId="0" applyNumberFormat="1" applyFont="1" applyFill="1" applyBorder="1" applyAlignment="1" applyProtection="1">
      <alignment horizontal="left"/>
      <protection locked="0"/>
    </xf>
    <xf numFmtId="0" fontId="94" fillId="33" borderId="0" xfId="0" applyFont="1" applyFill="1" applyBorder="1" applyAlignment="1" applyProtection="1">
      <alignment/>
      <protection locked="0"/>
    </xf>
    <xf numFmtId="0" fontId="69" fillId="33" borderId="0" xfId="0" applyFont="1" applyFill="1" applyBorder="1" applyAlignment="1" applyProtection="1">
      <alignment/>
      <protection locked="0"/>
    </xf>
    <xf numFmtId="0" fontId="7" fillId="42" borderId="43" xfId="0" applyNumberFormat="1" applyFont="1" applyFill="1" applyBorder="1" applyAlignment="1" applyProtection="1">
      <alignment horizontal="left"/>
      <protection locked="0"/>
    </xf>
    <xf numFmtId="0" fontId="7" fillId="42" borderId="42" xfId="0" applyNumberFormat="1" applyFont="1" applyFill="1" applyBorder="1" applyAlignment="1" applyProtection="1">
      <alignment horizontal="left"/>
      <protection locked="0"/>
    </xf>
    <xf numFmtId="0" fontId="7" fillId="42" borderId="47" xfId="0" applyNumberFormat="1" applyFont="1" applyFill="1" applyBorder="1" applyAlignment="1" applyProtection="1">
      <alignment horizontal="left"/>
      <protection locked="0"/>
    </xf>
    <xf numFmtId="0" fontId="7" fillId="42" borderId="43" xfId="0" applyNumberFormat="1" applyFont="1" applyFill="1" applyBorder="1" applyAlignment="1" applyProtection="1">
      <alignment horizontal="center"/>
      <protection locked="0"/>
    </xf>
    <xf numFmtId="0" fontId="7" fillId="42" borderId="42" xfId="0" applyFont="1" applyFill="1" applyBorder="1" applyAlignment="1" applyProtection="1">
      <alignment horizontal="center"/>
      <protection locked="0"/>
    </xf>
    <xf numFmtId="0" fontId="7" fillId="42" borderId="47" xfId="0" applyFont="1" applyFill="1" applyBorder="1" applyAlignment="1" applyProtection="1">
      <alignment horizontal="center"/>
      <protection locked="0"/>
    </xf>
    <xf numFmtId="0" fontId="0" fillId="0" borderId="42" xfId="0" applyBorder="1" applyAlignment="1" applyProtection="1">
      <alignment horizontal="left"/>
      <protection locked="0"/>
    </xf>
    <xf numFmtId="0" fontId="0" fillId="0" borderId="47" xfId="0" applyBorder="1" applyAlignment="1" applyProtection="1">
      <alignment horizontal="left"/>
      <protection locked="0"/>
    </xf>
    <xf numFmtId="0" fontId="7" fillId="42" borderId="72" xfId="0" applyNumberFormat="1" applyFont="1" applyFill="1" applyBorder="1" applyAlignment="1" applyProtection="1">
      <alignment horizontal="left"/>
      <protection locked="0"/>
    </xf>
    <xf numFmtId="0" fontId="7" fillId="42" borderId="73" xfId="0" applyNumberFormat="1" applyFont="1" applyFill="1" applyBorder="1" applyAlignment="1" applyProtection="1">
      <alignment horizontal="left"/>
      <protection locked="0"/>
    </xf>
    <xf numFmtId="0" fontId="7" fillId="42" borderId="74" xfId="0" applyNumberFormat="1" applyFont="1" applyFill="1" applyBorder="1" applyAlignment="1" applyProtection="1">
      <alignment horizontal="left"/>
      <protection locked="0"/>
    </xf>
    <xf numFmtId="0" fontId="15" fillId="0" borderId="13" xfId="0" applyFont="1" applyBorder="1" applyAlignment="1" applyProtection="1">
      <alignment horizontal="left"/>
      <protection hidden="1"/>
    </xf>
    <xf numFmtId="0" fontId="16" fillId="0" borderId="10" xfId="0" applyFont="1" applyBorder="1" applyAlignment="1" applyProtection="1">
      <alignment/>
      <protection hidden="1"/>
    </xf>
    <xf numFmtId="0" fontId="16" fillId="0" borderId="22" xfId="0" applyFont="1" applyBorder="1" applyAlignment="1" applyProtection="1">
      <alignment/>
      <protection hidden="1"/>
    </xf>
    <xf numFmtId="0" fontId="0" fillId="0" borderId="73" xfId="0" applyBorder="1" applyAlignment="1" applyProtection="1">
      <alignment/>
      <protection locked="0"/>
    </xf>
    <xf numFmtId="0" fontId="0" fillId="0" borderId="74" xfId="0" applyBorder="1" applyAlignment="1" applyProtection="1">
      <alignment/>
      <protection locked="0"/>
    </xf>
    <xf numFmtId="0" fontId="13" fillId="0" borderId="72" xfId="0" applyNumberFormat="1" applyFont="1" applyFill="1" applyBorder="1" applyAlignment="1" applyProtection="1">
      <alignment horizontal="left"/>
      <protection locked="0"/>
    </xf>
    <xf numFmtId="0" fontId="13" fillId="0" borderId="73" xfId="0" applyNumberFormat="1" applyFont="1" applyFill="1" applyBorder="1" applyAlignment="1" applyProtection="1">
      <alignment horizontal="left"/>
      <protection locked="0"/>
    </xf>
    <xf numFmtId="0" fontId="13" fillId="0" borderId="74" xfId="0" applyNumberFormat="1" applyFont="1" applyFill="1" applyBorder="1" applyAlignment="1" applyProtection="1">
      <alignment horizontal="left"/>
      <protection locked="0"/>
    </xf>
    <xf numFmtId="0" fontId="7" fillId="0" borderId="43" xfId="0" applyNumberFormat="1" applyFont="1" applyFill="1" applyBorder="1" applyAlignment="1" applyProtection="1">
      <alignment horizontal="left"/>
      <protection locked="0"/>
    </xf>
    <xf numFmtId="0" fontId="7" fillId="0" borderId="42" xfId="0" applyFont="1" applyFill="1" applyBorder="1" applyAlignment="1" applyProtection="1">
      <alignment horizontal="left"/>
      <protection locked="0"/>
    </xf>
    <xf numFmtId="0" fontId="7" fillId="0" borderId="47" xfId="0" applyFont="1" applyFill="1" applyBorder="1" applyAlignment="1" applyProtection="1">
      <alignment horizontal="left"/>
      <protection locked="0"/>
    </xf>
    <xf numFmtId="0" fontId="15" fillId="0" borderId="13" xfId="0" applyFont="1" applyFill="1" applyBorder="1" applyAlignment="1" applyProtection="1">
      <alignment horizontal="left"/>
      <protection hidden="1"/>
    </xf>
    <xf numFmtId="0" fontId="0" fillId="0" borderId="10" xfId="0" applyBorder="1" applyAlignment="1" applyProtection="1">
      <alignment/>
      <protection hidden="1"/>
    </xf>
    <xf numFmtId="0" fontId="0" fillId="0" borderId="22" xfId="0" applyBorder="1" applyAlignment="1" applyProtection="1">
      <alignment/>
      <protection hidden="1"/>
    </xf>
    <xf numFmtId="0" fontId="14" fillId="0" borderId="43" xfId="0" applyFont="1" applyFill="1" applyBorder="1" applyAlignment="1" applyProtection="1">
      <alignment horizontal="left"/>
      <protection locked="0"/>
    </xf>
    <xf numFmtId="0" fontId="7" fillId="37" borderId="71" xfId="0" applyFont="1" applyFill="1" applyBorder="1" applyAlignment="1" applyProtection="1">
      <alignment/>
      <protection hidden="1"/>
    </xf>
    <xf numFmtId="0" fontId="7" fillId="0" borderId="52" xfId="0" applyFont="1" applyBorder="1" applyAlignment="1" applyProtection="1">
      <alignment/>
      <protection hidden="1"/>
    </xf>
    <xf numFmtId="0" fontId="7" fillId="0" borderId="29" xfId="0" applyFont="1" applyBorder="1" applyAlignment="1" applyProtection="1">
      <alignment/>
      <protection hidden="1"/>
    </xf>
    <xf numFmtId="0" fontId="7" fillId="0" borderId="23" xfId="0" applyFont="1" applyBorder="1" applyAlignment="1" applyProtection="1">
      <alignment/>
      <protection hidden="1"/>
    </xf>
    <xf numFmtId="0" fontId="7" fillId="0" borderId="44" xfId="0" applyFont="1" applyFill="1" applyBorder="1" applyAlignment="1" applyProtection="1">
      <alignment/>
      <protection locked="0"/>
    </xf>
    <xf numFmtId="0" fontId="7" fillId="0" borderId="42" xfId="0" applyNumberFormat="1" applyFont="1" applyFill="1" applyBorder="1" applyAlignment="1" applyProtection="1">
      <alignment horizontal="left"/>
      <protection locked="0"/>
    </xf>
    <xf numFmtId="0" fontId="7" fillId="0" borderId="47" xfId="0" applyNumberFormat="1" applyFont="1" applyFill="1" applyBorder="1" applyAlignment="1" applyProtection="1">
      <alignment horizontal="left"/>
      <protection locked="0"/>
    </xf>
    <xf numFmtId="0" fontId="7" fillId="42" borderId="75" xfId="0" applyNumberFormat="1" applyFont="1" applyFill="1" applyBorder="1" applyAlignment="1" applyProtection="1">
      <alignment horizontal="left"/>
      <protection locked="0"/>
    </xf>
    <xf numFmtId="0" fontId="7" fillId="42" borderId="40" xfId="0" applyNumberFormat="1" applyFont="1" applyFill="1" applyBorder="1" applyAlignment="1" applyProtection="1">
      <alignment horizontal="left"/>
      <protection locked="0"/>
    </xf>
    <xf numFmtId="0" fontId="7" fillId="42" borderId="39" xfId="0" applyNumberFormat="1" applyFont="1" applyFill="1" applyBorder="1" applyAlignment="1" applyProtection="1">
      <alignment horizontal="left"/>
      <protection locked="0"/>
    </xf>
    <xf numFmtId="0" fontId="13" fillId="0" borderId="50" xfId="0" applyFont="1" applyBorder="1" applyAlignment="1" applyProtection="1">
      <alignment horizontal="left"/>
      <protection hidden="1"/>
    </xf>
    <xf numFmtId="0" fontId="13" fillId="0" borderId="51" xfId="0" applyFont="1" applyBorder="1" applyAlignment="1" applyProtection="1">
      <alignment horizontal="left"/>
      <protection hidden="1"/>
    </xf>
    <xf numFmtId="0" fontId="13" fillId="0" borderId="52" xfId="0" applyFont="1" applyBorder="1" applyAlignment="1" applyProtection="1">
      <alignment horizontal="left"/>
      <protection hidden="1"/>
    </xf>
    <xf numFmtId="0" fontId="15" fillId="0" borderId="10" xfId="0" applyFont="1" applyBorder="1" applyAlignment="1" applyProtection="1">
      <alignment horizontal="left"/>
      <protection hidden="1"/>
    </xf>
    <xf numFmtId="0" fontId="15" fillId="0" borderId="22" xfId="0" applyFont="1" applyBorder="1" applyAlignment="1" applyProtection="1">
      <alignment horizontal="left"/>
      <protection hidden="1"/>
    </xf>
    <xf numFmtId="0" fontId="7" fillId="0" borderId="0" xfId="0" applyFont="1" applyBorder="1" applyAlignment="1">
      <alignment horizontal="center" vertical="center"/>
    </xf>
    <xf numFmtId="0" fontId="0" fillId="0" borderId="0" xfId="0" applyAlignment="1">
      <alignment vertical="center"/>
    </xf>
    <xf numFmtId="0" fontId="7" fillId="0" borderId="23" xfId="0" applyFont="1" applyBorder="1" applyAlignment="1">
      <alignment horizontal="center" vertical="center"/>
    </xf>
    <xf numFmtId="0" fontId="0" fillId="0" borderId="23" xfId="0" applyBorder="1" applyAlignment="1">
      <alignment vertical="center"/>
    </xf>
    <xf numFmtId="0" fontId="0" fillId="0" borderId="0" xfId="0" applyBorder="1" applyAlignment="1">
      <alignment vertical="center"/>
    </xf>
    <xf numFmtId="0" fontId="7" fillId="0" borderId="33" xfId="0" applyFont="1" applyBorder="1" applyAlignment="1">
      <alignment horizontal="center" vertical="center"/>
    </xf>
    <xf numFmtId="0" fontId="0" fillId="0" borderId="33" xfId="0" applyBorder="1" applyAlignment="1">
      <alignment vertical="center"/>
    </xf>
    <xf numFmtId="0" fontId="7" fillId="0" borderId="29" xfId="0" applyFont="1" applyBorder="1" applyAlignment="1">
      <alignment horizontal="center" vertical="center"/>
    </xf>
    <xf numFmtId="0" fontId="0" fillId="0" borderId="29" xfId="0" applyBorder="1" applyAlignment="1">
      <alignment vertical="center"/>
    </xf>
    <xf numFmtId="0" fontId="7" fillId="0" borderId="12" xfId="0" applyFont="1" applyBorder="1" applyAlignment="1">
      <alignment horizontal="center" vertical="center"/>
    </xf>
    <xf numFmtId="0" fontId="0" fillId="0" borderId="12" xfId="0" applyBorder="1" applyAlignment="1">
      <alignment vertical="center"/>
    </xf>
    <xf numFmtId="0" fontId="54" fillId="0" borderId="12" xfId="0" applyFont="1"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center" vertical="center"/>
    </xf>
    <xf numFmtId="0" fontId="54" fillId="0" borderId="0" xfId="0" applyFont="1" applyBorder="1" applyAlignment="1">
      <alignment horizontal="center" vertical="center"/>
    </xf>
    <xf numFmtId="0" fontId="0" fillId="0" borderId="0" xfId="0" applyAlignment="1">
      <alignment horizontal="center" vertical="center"/>
    </xf>
    <xf numFmtId="0" fontId="61" fillId="33" borderId="12" xfId="0" applyFont="1" applyFill="1" applyBorder="1" applyAlignment="1" applyProtection="1">
      <alignment horizontal="left" vertical="center"/>
      <protection hidden="1"/>
    </xf>
    <xf numFmtId="0" fontId="110" fillId="33" borderId="0" xfId="0" applyFont="1" applyFill="1" applyBorder="1" applyAlignment="1" applyProtection="1">
      <alignmen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609600</xdr:colOff>
      <xdr:row>2</xdr:row>
      <xdr:rowOff>0</xdr:rowOff>
    </xdr:from>
    <xdr:ext cx="76200" cy="200025"/>
    <xdr:sp fLocksText="0">
      <xdr:nvSpPr>
        <xdr:cNvPr id="1" name="Text Box 5"/>
        <xdr:cNvSpPr txBox="1">
          <a:spLocks noChangeArrowheads="1"/>
        </xdr:cNvSpPr>
      </xdr:nvSpPr>
      <xdr:spPr>
        <a:xfrm>
          <a:off x="5924550" y="40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H84"/>
  <sheetViews>
    <sheetView zoomScalePageLayoutView="0" workbookViewId="0" topLeftCell="A1">
      <selection activeCell="C19" sqref="C19"/>
    </sheetView>
  </sheetViews>
  <sheetFormatPr defaultColWidth="9.140625" defaultRowHeight="12.75"/>
  <cols>
    <col min="1" max="1" width="3.421875" style="16" customWidth="1"/>
    <col min="2" max="2" width="11.8515625" style="16" customWidth="1"/>
    <col min="3" max="3" width="7.7109375" style="16" customWidth="1"/>
    <col min="4" max="7" width="9.140625" style="16" customWidth="1"/>
    <col min="8" max="8" width="23.7109375" style="16" customWidth="1"/>
  </cols>
  <sheetData>
    <row r="1" spans="1:8" ht="6.75" customHeight="1">
      <c r="A1" s="241"/>
      <c r="B1" s="164"/>
      <c r="C1" s="164"/>
      <c r="D1" s="164"/>
      <c r="E1" s="164"/>
      <c r="F1" s="164"/>
      <c r="G1" s="164"/>
      <c r="H1" s="165"/>
    </row>
    <row r="2" spans="1:8" ht="15.75">
      <c r="A2" s="387"/>
      <c r="B2" s="591" t="s">
        <v>372</v>
      </c>
      <c r="C2" s="388"/>
      <c r="D2" s="2"/>
      <c r="E2" s="2"/>
      <c r="F2" s="2"/>
      <c r="G2" s="2"/>
      <c r="H2" s="167"/>
    </row>
    <row r="3" spans="1:8" ht="3.75" customHeight="1">
      <c r="A3" s="387"/>
      <c r="B3" s="194"/>
      <c r="C3" s="388"/>
      <c r="D3" s="2"/>
      <c r="E3" s="2"/>
      <c r="F3" s="2"/>
      <c r="G3" s="2"/>
      <c r="H3" s="167"/>
    </row>
    <row r="4" spans="1:8" ht="12.75">
      <c r="A4" s="387"/>
      <c r="B4" s="3"/>
      <c r="C4" s="388"/>
      <c r="D4" s="2"/>
      <c r="E4" s="2"/>
      <c r="F4" s="2"/>
      <c r="G4" s="2"/>
      <c r="H4" s="167"/>
    </row>
    <row r="5" spans="1:8" ht="12.75">
      <c r="A5" s="387"/>
      <c r="B5" s="3"/>
      <c r="C5" s="388"/>
      <c r="D5" s="2"/>
      <c r="E5" s="2"/>
      <c r="F5" s="2"/>
      <c r="G5" s="2"/>
      <c r="H5" s="167"/>
    </row>
    <row r="6" spans="1:8" ht="15">
      <c r="A6" s="387"/>
      <c r="B6" s="389" t="s">
        <v>218</v>
      </c>
      <c r="C6" s="388"/>
      <c r="D6" s="2"/>
      <c r="E6" s="2"/>
      <c r="F6" s="2"/>
      <c r="G6" s="2"/>
      <c r="H6" s="167"/>
    </row>
    <row r="7" spans="1:8" ht="12.75">
      <c r="A7" s="387"/>
      <c r="B7" s="194"/>
      <c r="C7" s="388"/>
      <c r="D7" s="388"/>
      <c r="E7" s="2"/>
      <c r="F7" s="2"/>
      <c r="G7" s="2"/>
      <c r="H7" s="167"/>
    </row>
    <row r="8" spans="1:8" ht="12.75">
      <c r="A8" s="387"/>
      <c r="B8" s="390" t="s">
        <v>271</v>
      </c>
      <c r="C8" s="388"/>
      <c r="D8" s="388"/>
      <c r="E8" s="2"/>
      <c r="F8" s="2"/>
      <c r="G8" s="2"/>
      <c r="H8" s="167"/>
    </row>
    <row r="9" spans="1:8" ht="12.75">
      <c r="A9" s="387"/>
      <c r="B9" s="391" t="s">
        <v>274</v>
      </c>
      <c r="C9" s="388"/>
      <c r="D9" s="388"/>
      <c r="E9" s="2"/>
      <c r="F9" s="2"/>
      <c r="G9" s="2"/>
      <c r="H9" s="167"/>
    </row>
    <row r="10" spans="1:8" ht="12.75">
      <c r="A10" s="387"/>
      <c r="B10" s="392"/>
      <c r="C10" s="388"/>
      <c r="D10" s="388"/>
      <c r="E10" s="2"/>
      <c r="F10" s="2"/>
      <c r="G10" s="2"/>
      <c r="H10" s="167"/>
    </row>
    <row r="11" spans="1:8" s="465" customFormat="1" ht="12.75">
      <c r="A11" s="387"/>
      <c r="B11" s="390" t="s">
        <v>272</v>
      </c>
      <c r="C11" s="393"/>
      <c r="D11" s="393"/>
      <c r="E11" s="275"/>
      <c r="F11" s="2"/>
      <c r="G11" s="2"/>
      <c r="H11" s="167"/>
    </row>
    <row r="12" spans="1:8" s="465" customFormat="1" ht="12.75">
      <c r="A12" s="387"/>
      <c r="B12" s="394" t="s">
        <v>376</v>
      </c>
      <c r="C12" s="388"/>
      <c r="D12" s="388"/>
      <c r="E12" s="2"/>
      <c r="F12" s="2"/>
      <c r="G12" s="2"/>
      <c r="H12" s="466"/>
    </row>
    <row r="13" spans="1:8" s="465" customFormat="1" ht="12.75">
      <c r="A13" s="387"/>
      <c r="B13" s="394" t="s">
        <v>377</v>
      </c>
      <c r="C13" s="388"/>
      <c r="D13" s="388"/>
      <c r="E13" s="2"/>
      <c r="F13" s="2"/>
      <c r="G13" s="2"/>
      <c r="H13" s="167"/>
    </row>
    <row r="14" spans="1:8" s="465" customFormat="1" ht="12.75">
      <c r="A14" s="387"/>
      <c r="B14" s="669" t="s">
        <v>378</v>
      </c>
      <c r="C14" s="388"/>
      <c r="D14" s="388"/>
      <c r="E14" s="2"/>
      <c r="F14" s="2"/>
      <c r="G14" s="2"/>
      <c r="H14" s="167"/>
    </row>
    <row r="15" spans="1:8" s="465" customFormat="1" ht="12.75">
      <c r="A15" s="387"/>
      <c r="B15" s="394" t="s">
        <v>379</v>
      </c>
      <c r="C15" s="388"/>
      <c r="D15" s="388"/>
      <c r="E15" s="2"/>
      <c r="F15" s="2"/>
      <c r="G15" s="2"/>
      <c r="H15" s="167"/>
    </row>
    <row r="16" spans="1:8" s="465" customFormat="1" ht="12.75">
      <c r="A16" s="387"/>
      <c r="B16" s="394" t="s">
        <v>380</v>
      </c>
      <c r="C16" s="388"/>
      <c r="D16" s="388"/>
      <c r="E16" s="2"/>
      <c r="F16" s="2"/>
      <c r="G16" s="2"/>
      <c r="H16" s="167"/>
    </row>
    <row r="17" spans="1:8" s="465" customFormat="1" ht="12.75">
      <c r="A17" s="387"/>
      <c r="B17" s="394" t="s">
        <v>381</v>
      </c>
      <c r="C17" s="388"/>
      <c r="D17" s="388"/>
      <c r="E17" s="2"/>
      <c r="F17" s="2"/>
      <c r="G17" s="2"/>
      <c r="H17" s="167"/>
    </row>
    <row r="18" spans="1:8" s="465" customFormat="1" ht="12.75">
      <c r="A18" s="387"/>
      <c r="B18" s="394"/>
      <c r="C18" s="388"/>
      <c r="D18" s="388"/>
      <c r="E18" s="2"/>
      <c r="F18" s="2"/>
      <c r="G18" s="2"/>
      <c r="H18" s="167"/>
    </row>
    <row r="19" spans="1:8" s="465" customFormat="1" ht="12.75">
      <c r="A19" s="387"/>
      <c r="B19" s="263" t="s">
        <v>219</v>
      </c>
      <c r="C19" s="388"/>
      <c r="D19" s="388"/>
      <c r="E19" s="2"/>
      <c r="F19" s="2"/>
      <c r="G19" s="2"/>
      <c r="H19" s="167"/>
    </row>
    <row r="20" spans="1:8" s="465" customFormat="1" ht="12.75">
      <c r="A20" s="387"/>
      <c r="B20" s="395" t="s">
        <v>273</v>
      </c>
      <c r="C20" s="388"/>
      <c r="D20" s="388"/>
      <c r="E20" s="2"/>
      <c r="F20" s="2"/>
      <c r="G20" s="2"/>
      <c r="H20" s="167"/>
    </row>
    <row r="21" spans="1:8" s="465" customFormat="1" ht="12.75">
      <c r="A21" s="387"/>
      <c r="B21" s="396" t="s">
        <v>253</v>
      </c>
      <c r="C21" s="388"/>
      <c r="D21" s="388"/>
      <c r="E21" s="2"/>
      <c r="F21" s="2"/>
      <c r="G21" s="2"/>
      <c r="H21" s="167"/>
    </row>
    <row r="22" spans="1:8" s="465" customFormat="1" ht="12.75">
      <c r="A22" s="387"/>
      <c r="B22" s="397" t="s">
        <v>220</v>
      </c>
      <c r="C22" s="388"/>
      <c r="D22" s="388"/>
      <c r="E22" s="2"/>
      <c r="F22" s="2"/>
      <c r="G22" s="2"/>
      <c r="H22" s="167"/>
    </row>
    <row r="23" spans="1:8" s="465" customFormat="1" ht="12.75">
      <c r="A23" s="387"/>
      <c r="B23" s="397" t="s">
        <v>221</v>
      </c>
      <c r="C23" s="388"/>
      <c r="D23" s="388"/>
      <c r="E23" s="2"/>
      <c r="F23" s="2"/>
      <c r="G23" s="2"/>
      <c r="H23" s="167"/>
    </row>
    <row r="24" spans="1:8" s="465" customFormat="1" ht="12.75">
      <c r="A24" s="387"/>
      <c r="B24" s="2"/>
      <c r="C24" s="388"/>
      <c r="D24" s="388"/>
      <c r="E24" s="2"/>
      <c r="F24" s="2"/>
      <c r="G24" s="2"/>
      <c r="H24" s="167"/>
    </row>
    <row r="25" spans="1:8" s="465" customFormat="1" ht="12.75">
      <c r="A25" s="387"/>
      <c r="B25" s="263" t="s">
        <v>222</v>
      </c>
      <c r="C25" s="388"/>
      <c r="D25" s="388"/>
      <c r="E25" s="2"/>
      <c r="F25" s="2"/>
      <c r="G25" s="2"/>
      <c r="H25" s="167"/>
    </row>
    <row r="26" spans="1:8" s="465" customFormat="1" ht="12.75">
      <c r="A26" s="387"/>
      <c r="B26" s="397" t="s">
        <v>254</v>
      </c>
      <c r="C26" s="388"/>
      <c r="D26" s="388"/>
      <c r="E26" s="2"/>
      <c r="F26" s="2"/>
      <c r="G26" s="2"/>
      <c r="H26" s="167"/>
    </row>
    <row r="27" spans="1:8" s="465" customFormat="1" ht="12.75">
      <c r="A27" s="387"/>
      <c r="B27" s="397" t="s">
        <v>223</v>
      </c>
      <c r="C27" s="388"/>
      <c r="D27" s="388"/>
      <c r="E27" s="2"/>
      <c r="F27" s="2"/>
      <c r="G27" s="2"/>
      <c r="H27" s="167"/>
    </row>
    <row r="28" spans="1:8" s="465" customFormat="1" ht="12.75">
      <c r="A28" s="387"/>
      <c r="B28" s="397" t="s">
        <v>224</v>
      </c>
      <c r="C28" s="388"/>
      <c r="D28" s="388"/>
      <c r="E28" s="2"/>
      <c r="F28" s="2"/>
      <c r="G28" s="2"/>
      <c r="H28" s="167"/>
    </row>
    <row r="29" spans="1:8" s="465" customFormat="1" ht="12.75">
      <c r="A29" s="387"/>
      <c r="B29" s="397" t="s">
        <v>246</v>
      </c>
      <c r="C29" s="388"/>
      <c r="D29" s="388"/>
      <c r="E29" s="2"/>
      <c r="F29" s="2"/>
      <c r="G29" s="2"/>
      <c r="H29" s="167"/>
    </row>
    <row r="30" spans="1:8" s="465" customFormat="1" ht="12.75">
      <c r="A30" s="387"/>
      <c r="B30" s="397" t="s">
        <v>247</v>
      </c>
      <c r="C30" s="388"/>
      <c r="D30" s="388"/>
      <c r="E30" s="2"/>
      <c r="F30" s="2"/>
      <c r="G30" s="2"/>
      <c r="H30" s="167"/>
    </row>
    <row r="31" spans="1:8" ht="12.75">
      <c r="A31" s="387"/>
      <c r="B31" s="194"/>
      <c r="C31" s="388"/>
      <c r="D31" s="388"/>
      <c r="E31" s="2"/>
      <c r="F31" s="2"/>
      <c r="G31" s="2"/>
      <c r="H31" s="167"/>
    </row>
    <row r="32" spans="1:8" ht="12.75">
      <c r="A32" s="387"/>
      <c r="B32" s="263" t="s">
        <v>225</v>
      </c>
      <c r="C32" s="388"/>
      <c r="D32" s="388"/>
      <c r="E32" s="2"/>
      <c r="F32" s="2"/>
      <c r="G32" s="2"/>
      <c r="H32" s="167"/>
    </row>
    <row r="33" spans="1:8" ht="12.75">
      <c r="A33" s="387"/>
      <c r="B33" s="397" t="s">
        <v>226</v>
      </c>
      <c r="C33" s="388"/>
      <c r="D33" s="388"/>
      <c r="E33" s="2"/>
      <c r="F33" s="2"/>
      <c r="G33" s="2"/>
      <c r="H33" s="167"/>
    </row>
    <row r="34" spans="1:8" ht="12.75">
      <c r="A34" s="387"/>
      <c r="B34" s="397" t="s">
        <v>227</v>
      </c>
      <c r="C34" s="388"/>
      <c r="D34" s="388"/>
      <c r="E34" s="2"/>
      <c r="F34" s="2"/>
      <c r="G34" s="2"/>
      <c r="H34" s="167"/>
    </row>
    <row r="35" spans="1:8" ht="12.75">
      <c r="A35" s="387"/>
      <c r="B35" s="397" t="s">
        <v>352</v>
      </c>
      <c r="C35" s="388"/>
      <c r="D35" s="388"/>
      <c r="E35" s="2"/>
      <c r="F35" s="2"/>
      <c r="G35" s="2"/>
      <c r="H35" s="167"/>
    </row>
    <row r="36" spans="1:8" ht="12.75">
      <c r="A36" s="387"/>
      <c r="B36" s="397" t="s">
        <v>228</v>
      </c>
      <c r="C36" s="388"/>
      <c r="D36" s="388"/>
      <c r="E36" s="2"/>
      <c r="F36" s="2"/>
      <c r="G36" s="2"/>
      <c r="H36" s="167"/>
    </row>
    <row r="37" spans="1:8" ht="12.75">
      <c r="A37" s="387"/>
      <c r="B37" s="397" t="s">
        <v>353</v>
      </c>
      <c r="C37" s="388"/>
      <c r="D37" s="388"/>
      <c r="E37" s="2"/>
      <c r="F37" s="2"/>
      <c r="G37" s="2"/>
      <c r="H37" s="167"/>
    </row>
    <row r="38" spans="1:8" ht="12.75">
      <c r="A38" s="387"/>
      <c r="B38" s="397" t="s">
        <v>229</v>
      </c>
      <c r="C38" s="388"/>
      <c r="D38" s="388"/>
      <c r="E38" s="2"/>
      <c r="F38" s="2"/>
      <c r="G38" s="2"/>
      <c r="H38" s="167"/>
    </row>
    <row r="39" spans="1:8" ht="12.75">
      <c r="A39" s="387"/>
      <c r="B39" s="396" t="s">
        <v>230</v>
      </c>
      <c r="C39" s="388"/>
      <c r="D39" s="388"/>
      <c r="E39" s="2"/>
      <c r="F39" s="2"/>
      <c r="G39" s="2"/>
      <c r="H39" s="167"/>
    </row>
    <row r="40" spans="1:8" ht="12.75">
      <c r="A40" s="387"/>
      <c r="B40" s="398"/>
      <c r="C40" s="388"/>
      <c r="D40" s="388"/>
      <c r="E40" s="2"/>
      <c r="F40" s="2"/>
      <c r="G40" s="2"/>
      <c r="H40" s="167"/>
    </row>
    <row r="41" spans="1:8" ht="12.75">
      <c r="A41" s="387"/>
      <c r="B41" s="263" t="s">
        <v>231</v>
      </c>
      <c r="C41" s="388"/>
      <c r="D41" s="388"/>
      <c r="E41" s="2"/>
      <c r="F41" s="2"/>
      <c r="G41" s="2"/>
      <c r="H41" s="167"/>
    </row>
    <row r="42" spans="1:8" ht="12.75">
      <c r="A42" s="387"/>
      <c r="B42" s="397" t="s">
        <v>255</v>
      </c>
      <c r="C42" s="388"/>
      <c r="D42" s="388"/>
      <c r="E42" s="2"/>
      <c r="F42" s="2"/>
      <c r="G42" s="2"/>
      <c r="H42" s="167"/>
    </row>
    <row r="43" spans="1:8" ht="12.75">
      <c r="A43" s="387"/>
      <c r="B43" s="397" t="s">
        <v>245</v>
      </c>
      <c r="C43" s="388"/>
      <c r="D43" s="388"/>
      <c r="E43" s="2"/>
      <c r="F43" s="2"/>
      <c r="G43" s="2"/>
      <c r="H43" s="276"/>
    </row>
    <row r="44" spans="1:8" ht="12.75">
      <c r="A44" s="387"/>
      <c r="B44" s="397"/>
      <c r="C44" s="388"/>
      <c r="D44" s="388"/>
      <c r="E44" s="2"/>
      <c r="F44" s="2"/>
      <c r="G44" s="2"/>
      <c r="H44" s="276"/>
    </row>
    <row r="45" spans="1:8" ht="12.75">
      <c r="A45" s="387"/>
      <c r="B45" s="397" t="s">
        <v>232</v>
      </c>
      <c r="C45" s="388"/>
      <c r="D45" s="388"/>
      <c r="E45" s="2"/>
      <c r="F45" s="2"/>
      <c r="G45" s="2"/>
      <c r="H45" s="276"/>
    </row>
    <row r="46" spans="1:8" ht="12.75">
      <c r="A46" s="387"/>
      <c r="B46" s="397" t="s">
        <v>233</v>
      </c>
      <c r="C46" s="388"/>
      <c r="D46" s="388"/>
      <c r="E46" s="2"/>
      <c r="F46" s="2"/>
      <c r="G46" s="2"/>
      <c r="H46" s="276"/>
    </row>
    <row r="47" spans="1:8" ht="12.75">
      <c r="A47" s="387"/>
      <c r="B47" s="397" t="s">
        <v>234</v>
      </c>
      <c r="C47" s="388"/>
      <c r="D47" s="388"/>
      <c r="E47" s="2"/>
      <c r="F47" s="2"/>
      <c r="G47" s="2"/>
      <c r="H47" s="276"/>
    </row>
    <row r="48" spans="1:8" ht="12.75">
      <c r="A48" s="387"/>
      <c r="B48" s="397" t="s">
        <v>235</v>
      </c>
      <c r="C48" s="388"/>
      <c r="D48" s="388"/>
      <c r="E48" s="2"/>
      <c r="F48" s="2"/>
      <c r="G48" s="2"/>
      <c r="H48" s="276"/>
    </row>
    <row r="49" spans="1:8" ht="12.75">
      <c r="A49" s="387"/>
      <c r="B49" s="397"/>
      <c r="C49" s="388"/>
      <c r="D49" s="388"/>
      <c r="E49" s="2"/>
      <c r="F49" s="2"/>
      <c r="G49" s="2"/>
      <c r="H49" s="276"/>
    </row>
    <row r="50" spans="1:8" ht="12.75">
      <c r="A50" s="387"/>
      <c r="B50" s="397" t="s">
        <v>256</v>
      </c>
      <c r="C50" s="388"/>
      <c r="D50" s="388"/>
      <c r="E50" s="2"/>
      <c r="F50" s="2"/>
      <c r="G50" s="2"/>
      <c r="H50" s="167"/>
    </row>
    <row r="51" spans="1:8" ht="12.75">
      <c r="A51" s="387"/>
      <c r="B51" s="397" t="s">
        <v>257</v>
      </c>
      <c r="C51" s="388"/>
      <c r="D51" s="388"/>
      <c r="E51" s="2"/>
      <c r="F51" s="2"/>
      <c r="G51" s="2"/>
      <c r="H51" s="399"/>
    </row>
    <row r="52" spans="1:8" ht="12.75">
      <c r="A52" s="387"/>
      <c r="B52" s="397" t="s">
        <v>258</v>
      </c>
      <c r="C52" s="388"/>
      <c r="D52" s="388"/>
      <c r="E52" s="2"/>
      <c r="F52" s="2"/>
      <c r="G52" s="2"/>
      <c r="H52" s="399"/>
    </row>
    <row r="53" spans="1:8" ht="12.75">
      <c r="A53" s="387"/>
      <c r="B53" s="397" t="s">
        <v>259</v>
      </c>
      <c r="C53" s="388"/>
      <c r="D53" s="388"/>
      <c r="E53" s="2"/>
      <c r="F53" s="2"/>
      <c r="G53" s="2"/>
      <c r="H53" s="399"/>
    </row>
    <row r="54" spans="1:8" ht="12.75">
      <c r="A54" s="387"/>
      <c r="B54" s="397" t="s">
        <v>260</v>
      </c>
      <c r="C54" s="388"/>
      <c r="D54" s="388"/>
      <c r="E54" s="2"/>
      <c r="F54" s="2"/>
      <c r="G54" s="2"/>
      <c r="H54" s="399"/>
    </row>
    <row r="55" spans="1:8" ht="12.75">
      <c r="A55" s="387"/>
      <c r="B55" s="400" t="s">
        <v>261</v>
      </c>
      <c r="C55" s="388"/>
      <c r="D55" s="388"/>
      <c r="E55" s="2"/>
      <c r="F55" s="2"/>
      <c r="G55" s="2"/>
      <c r="H55" s="399"/>
    </row>
    <row r="56" spans="1:8" ht="12.75">
      <c r="A56" s="387"/>
      <c r="B56" s="400" t="s">
        <v>263</v>
      </c>
      <c r="C56" s="388"/>
      <c r="D56" s="388"/>
      <c r="E56" s="2"/>
      <c r="F56" s="2"/>
      <c r="G56" s="2"/>
      <c r="H56" s="399"/>
    </row>
    <row r="57" spans="1:8" ht="12.75">
      <c r="A57" s="387"/>
      <c r="B57" s="400" t="s">
        <v>262</v>
      </c>
      <c r="C57" s="388"/>
      <c r="D57" s="388"/>
      <c r="E57" s="2"/>
      <c r="F57" s="2"/>
      <c r="G57" s="2"/>
      <c r="H57" s="399"/>
    </row>
    <row r="58" spans="1:8" ht="12.75">
      <c r="A58" s="387"/>
      <c r="B58" s="2"/>
      <c r="C58" s="388"/>
      <c r="D58" s="388"/>
      <c r="E58" s="2"/>
      <c r="F58" s="2"/>
      <c r="G58" s="2"/>
      <c r="H58" s="399"/>
    </row>
    <row r="59" spans="1:8" ht="12.75">
      <c r="A59" s="387"/>
      <c r="B59" s="263" t="s">
        <v>236</v>
      </c>
      <c r="C59" s="388"/>
      <c r="D59" s="388"/>
      <c r="E59" s="2"/>
      <c r="F59" s="2"/>
      <c r="G59" s="2"/>
      <c r="H59" s="399"/>
    </row>
    <row r="60" spans="1:8" ht="12.75">
      <c r="A60" s="387"/>
      <c r="B60" s="397" t="s">
        <v>264</v>
      </c>
      <c r="C60" s="388"/>
      <c r="D60" s="388"/>
      <c r="E60" s="2"/>
      <c r="F60" s="2"/>
      <c r="G60" s="2"/>
      <c r="H60" s="399"/>
    </row>
    <row r="61" spans="1:8" ht="12.75">
      <c r="A61" s="387"/>
      <c r="B61" s="397" t="s">
        <v>265</v>
      </c>
      <c r="C61" s="388"/>
      <c r="D61" s="388"/>
      <c r="E61" s="2"/>
      <c r="F61" s="2"/>
      <c r="G61" s="2"/>
      <c r="H61" s="399"/>
    </row>
    <row r="62" spans="1:8" ht="12.75">
      <c r="A62" s="387"/>
      <c r="B62" s="397" t="s">
        <v>354</v>
      </c>
      <c r="C62" s="388"/>
      <c r="D62" s="388"/>
      <c r="E62" s="2"/>
      <c r="F62" s="2"/>
      <c r="G62" s="2"/>
      <c r="H62" s="399"/>
    </row>
    <row r="63" spans="1:8" ht="12.75">
      <c r="A63" s="387"/>
      <c r="B63" s="397" t="s">
        <v>267</v>
      </c>
      <c r="C63" s="388"/>
      <c r="D63" s="388"/>
      <c r="E63" s="2"/>
      <c r="F63" s="2"/>
      <c r="G63" s="2"/>
      <c r="H63" s="399"/>
    </row>
    <row r="64" spans="1:8" ht="12.75">
      <c r="A64" s="387"/>
      <c r="B64" s="397" t="s">
        <v>266</v>
      </c>
      <c r="C64" s="388"/>
      <c r="D64" s="388"/>
      <c r="E64" s="2"/>
      <c r="F64" s="2"/>
      <c r="G64" s="2"/>
      <c r="H64" s="399"/>
    </row>
    <row r="65" spans="1:8" ht="12.75">
      <c r="A65" s="387"/>
      <c r="B65" s="2"/>
      <c r="C65" s="388"/>
      <c r="D65" s="388"/>
      <c r="E65" s="2"/>
      <c r="F65" s="2"/>
      <c r="G65" s="2"/>
      <c r="H65" s="399"/>
    </row>
    <row r="66" spans="1:8" ht="12.75">
      <c r="A66" s="387"/>
      <c r="B66" s="263" t="s">
        <v>237</v>
      </c>
      <c r="C66" s="388"/>
      <c r="D66" s="388"/>
      <c r="E66" s="2"/>
      <c r="F66" s="2"/>
      <c r="G66" s="2"/>
      <c r="H66" s="399"/>
    </row>
    <row r="67" spans="1:8" ht="12.75">
      <c r="A67" s="387"/>
      <c r="B67" s="401" t="s">
        <v>238</v>
      </c>
      <c r="C67" s="388"/>
      <c r="D67" s="388"/>
      <c r="E67" s="2"/>
      <c r="F67" s="2"/>
      <c r="G67" s="2"/>
      <c r="H67" s="276"/>
    </row>
    <row r="68" spans="1:8" ht="12.75">
      <c r="A68" s="402"/>
      <c r="B68" s="397" t="s">
        <v>268</v>
      </c>
      <c r="C68" s="388"/>
      <c r="D68" s="388"/>
      <c r="E68" s="2"/>
      <c r="F68" s="2"/>
      <c r="G68" s="2"/>
      <c r="H68" s="276"/>
    </row>
    <row r="69" spans="1:8" ht="12.75">
      <c r="A69" s="402"/>
      <c r="B69" s="403" t="s">
        <v>248</v>
      </c>
      <c r="C69" s="388"/>
      <c r="D69" s="388"/>
      <c r="E69" s="2"/>
      <c r="F69" s="2"/>
      <c r="G69" s="2"/>
      <c r="H69" s="167"/>
    </row>
    <row r="70" spans="1:8" ht="12.75">
      <c r="A70" s="402"/>
      <c r="B70" s="401" t="s">
        <v>249</v>
      </c>
      <c r="C70" s="388"/>
      <c r="D70" s="388"/>
      <c r="E70" s="2"/>
      <c r="F70" s="2"/>
      <c r="G70" s="2"/>
      <c r="H70" s="167"/>
    </row>
    <row r="71" spans="1:8" ht="12.75">
      <c r="A71" s="402"/>
      <c r="B71" s="401" t="s">
        <v>269</v>
      </c>
      <c r="C71" s="388"/>
      <c r="D71" s="388"/>
      <c r="E71" s="2"/>
      <c r="F71" s="2"/>
      <c r="G71" s="2"/>
      <c r="H71" s="167"/>
    </row>
    <row r="72" spans="1:8" ht="12.75">
      <c r="A72" s="402"/>
      <c r="B72" s="401" t="s">
        <v>250</v>
      </c>
      <c r="C72" s="388"/>
      <c r="D72" s="388"/>
      <c r="E72" s="2"/>
      <c r="F72" s="2"/>
      <c r="G72" s="2"/>
      <c r="H72" s="167"/>
    </row>
    <row r="73" spans="1:8" ht="12.75">
      <c r="A73" s="402"/>
      <c r="B73" s="401" t="s">
        <v>251</v>
      </c>
      <c r="C73" s="388"/>
      <c r="D73" s="388"/>
      <c r="E73" s="2"/>
      <c r="F73" s="2"/>
      <c r="G73" s="2"/>
      <c r="H73" s="167"/>
    </row>
    <row r="74" spans="1:8" ht="12.75">
      <c r="A74" s="402"/>
      <c r="B74" s="401" t="s">
        <v>252</v>
      </c>
      <c r="C74" s="388"/>
      <c r="D74" s="388"/>
      <c r="E74" s="2"/>
      <c r="F74" s="2"/>
      <c r="G74" s="2"/>
      <c r="H74" s="167"/>
    </row>
    <row r="75" spans="1:8" ht="12.75">
      <c r="A75" s="402"/>
      <c r="B75" s="401"/>
      <c r="C75" s="388"/>
      <c r="D75" s="388"/>
      <c r="E75" s="2"/>
      <c r="F75" s="2"/>
      <c r="G75" s="2"/>
      <c r="H75" s="167"/>
    </row>
    <row r="76" spans="1:8" ht="12.75">
      <c r="A76" s="402"/>
      <c r="B76" s="263" t="s">
        <v>239</v>
      </c>
      <c r="C76" s="388"/>
      <c r="D76" s="388"/>
      <c r="E76" s="2"/>
      <c r="F76" s="2"/>
      <c r="G76" s="2"/>
      <c r="H76" s="167"/>
    </row>
    <row r="77" spans="1:8" ht="12.75">
      <c r="A77" s="402"/>
      <c r="B77" s="401" t="s">
        <v>240</v>
      </c>
      <c r="C77" s="388"/>
      <c r="D77" s="388"/>
      <c r="E77" s="2"/>
      <c r="F77" s="2"/>
      <c r="G77" s="2"/>
      <c r="H77" s="167"/>
    </row>
    <row r="78" spans="1:8" ht="12.75">
      <c r="A78" s="402"/>
      <c r="B78" s="401" t="s">
        <v>270</v>
      </c>
      <c r="C78" s="388"/>
      <c r="D78" s="388"/>
      <c r="E78" s="2"/>
      <c r="F78" s="2"/>
      <c r="G78" s="2"/>
      <c r="H78" s="167"/>
    </row>
    <row r="79" spans="1:8" ht="12.75">
      <c r="A79" s="402"/>
      <c r="B79" s="401" t="s">
        <v>241</v>
      </c>
      <c r="C79" s="388"/>
      <c r="D79" s="388"/>
      <c r="E79" s="2"/>
      <c r="F79" s="2"/>
      <c r="G79" s="2"/>
      <c r="H79" s="167"/>
    </row>
    <row r="80" spans="1:8" ht="12.75">
      <c r="A80" s="402"/>
      <c r="B80" s="401" t="s">
        <v>242</v>
      </c>
      <c r="C80" s="388"/>
      <c r="D80" s="388"/>
      <c r="E80" s="2"/>
      <c r="F80" s="2"/>
      <c r="G80" s="2"/>
      <c r="H80" s="167"/>
    </row>
    <row r="81" spans="1:8" ht="12.75">
      <c r="A81" s="402"/>
      <c r="B81" s="401" t="s">
        <v>243</v>
      </c>
      <c r="C81" s="388"/>
      <c r="D81" s="388"/>
      <c r="E81" s="2"/>
      <c r="F81" s="2"/>
      <c r="G81" s="2"/>
      <c r="H81" s="167"/>
    </row>
    <row r="82" spans="1:8" ht="12.75">
      <c r="A82" s="402"/>
      <c r="B82" s="401"/>
      <c r="C82" s="388"/>
      <c r="D82" s="388"/>
      <c r="E82" s="2"/>
      <c r="F82" s="2"/>
      <c r="G82" s="2"/>
      <c r="H82" s="167"/>
    </row>
    <row r="83" spans="1:8" ht="12.75">
      <c r="A83" s="402"/>
      <c r="B83" s="263" t="s">
        <v>244</v>
      </c>
      <c r="C83" s="388"/>
      <c r="D83" s="388"/>
      <c r="E83" s="2"/>
      <c r="F83" s="2"/>
      <c r="G83" s="2"/>
      <c r="H83" s="167"/>
    </row>
    <row r="84" spans="1:8" ht="13.5" thickBot="1">
      <c r="A84" s="404"/>
      <c r="B84" s="405"/>
      <c r="C84" s="405"/>
      <c r="D84" s="405"/>
      <c r="E84" s="169"/>
      <c r="F84" s="169"/>
      <c r="G84" s="169"/>
      <c r="H84" s="180"/>
    </row>
  </sheetData>
  <sheetProtection sheet="1" objects="1" scenarios="1"/>
  <printOptions/>
  <pageMargins left="0.75" right="0.75" top="1" bottom="1" header="0.5" footer="0.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2"/>
  <dimension ref="A1:AO115"/>
  <sheetViews>
    <sheetView tabSelected="1" zoomScalePageLayoutView="0" workbookViewId="0" topLeftCell="I1">
      <selection activeCell="AJ11" sqref="AJ11"/>
    </sheetView>
  </sheetViews>
  <sheetFormatPr defaultColWidth="9.140625" defaultRowHeight="12.75"/>
  <cols>
    <col min="1" max="1" width="7.140625" style="16" customWidth="1"/>
    <col min="2" max="2" width="46.8515625" style="16" customWidth="1"/>
    <col min="3" max="5" width="12.8515625" style="32" customWidth="1"/>
    <col min="6" max="6" width="2.00390625" style="16" customWidth="1"/>
    <col min="7" max="7" width="14.57421875" style="16" customWidth="1"/>
    <col min="8" max="8" width="2.140625" style="16" customWidth="1"/>
    <col min="9" max="9" width="2.00390625" style="16" customWidth="1"/>
    <col min="10" max="10" width="4.00390625" style="16" customWidth="1"/>
    <col min="11" max="11" width="5.8515625" style="16" customWidth="1"/>
    <col min="12" max="12" width="7.28125" style="16" customWidth="1"/>
    <col min="13" max="13" width="2.7109375" style="16" customWidth="1"/>
    <col min="14" max="14" width="2.421875" style="16" customWidth="1"/>
    <col min="15" max="15" width="7.7109375" style="16" customWidth="1"/>
    <col min="16" max="16" width="1.1484375" style="16" customWidth="1"/>
    <col min="17" max="17" width="6.00390625" style="16" customWidth="1"/>
    <col min="18" max="18" width="0.2890625" style="16" customWidth="1"/>
    <col min="19" max="19" width="0.71875" style="16" customWidth="1"/>
    <col min="20" max="20" width="1.1484375" style="16" customWidth="1"/>
    <col min="21" max="21" width="4.8515625" style="16" customWidth="1"/>
    <col min="22" max="22" width="2.7109375" style="16" customWidth="1"/>
    <col min="23" max="23" width="0.9921875" style="16" customWidth="1"/>
    <col min="24" max="24" width="2.28125" style="16" customWidth="1"/>
    <col min="25" max="25" width="3.00390625" style="16" customWidth="1"/>
    <col min="26" max="26" width="2.421875" style="16" customWidth="1"/>
    <col min="27" max="27" width="11.57421875" style="16" customWidth="1"/>
    <col min="28" max="28" width="7.00390625" style="16" customWidth="1"/>
    <col min="29" max="29" width="1.1484375" style="16" customWidth="1"/>
    <col min="30" max="30" width="3.00390625" style="16" customWidth="1"/>
    <col min="31" max="31" width="9.28125" style="16" customWidth="1"/>
    <col min="32" max="32" width="5.8515625" style="16" customWidth="1"/>
    <col min="33" max="33" width="5.28125" style="16" customWidth="1"/>
    <col min="34" max="34" width="3.421875" style="16" customWidth="1"/>
    <col min="35" max="35" width="2.7109375" style="16" customWidth="1"/>
    <col min="36" max="39" width="9.140625" style="16" customWidth="1"/>
    <col min="40" max="40" width="11.00390625" style="16" customWidth="1"/>
    <col min="41" max="41" width="6.00390625" style="16" customWidth="1"/>
    <col min="42" max="16384" width="9.140625" style="16" customWidth="1"/>
  </cols>
  <sheetData>
    <row r="1" spans="1:41" ht="15">
      <c r="A1" s="462">
        <f>IF(AND(C10="",C11="",C12="",C13="",C14="",C15="",C16="",C17="",C18="",C19="",C22="",D22="",E22="",C23="",C25="",D25="",E25="",C26="",C28="",D28="",E28="",C29="",C30="",C32="",D32="",E32="",C33="",C34="",C37="",D37=""),"",".")</f>
      </c>
      <c r="B1" s="1"/>
      <c r="C1" s="27"/>
      <c r="D1" s="27"/>
      <c r="E1" s="27"/>
      <c r="F1" s="164"/>
      <c r="G1" s="165"/>
      <c r="H1" s="427"/>
      <c r="I1" s="467"/>
      <c r="J1" s="241"/>
      <c r="K1" s="164"/>
      <c r="L1" s="164"/>
      <c r="M1" s="164"/>
      <c r="N1" s="164"/>
      <c r="O1" s="164"/>
      <c r="P1" s="164"/>
      <c r="Q1" s="164"/>
      <c r="R1" s="164"/>
      <c r="S1" s="164"/>
      <c r="T1" s="164"/>
      <c r="U1" s="164"/>
      <c r="V1" s="164"/>
      <c r="W1" s="164"/>
      <c r="X1" s="164"/>
      <c r="Y1" s="164"/>
      <c r="Z1" s="164"/>
      <c r="AA1" s="164"/>
      <c r="AB1" s="164"/>
      <c r="AC1" s="164"/>
      <c r="AD1" s="164"/>
      <c r="AE1" s="164"/>
      <c r="AF1" s="165"/>
      <c r="AG1" s="467"/>
      <c r="AH1" s="454"/>
      <c r="AI1" s="454"/>
      <c r="AJ1" s="454"/>
      <c r="AK1" s="454"/>
      <c r="AL1" s="454"/>
      <c r="AM1" s="454"/>
      <c r="AN1" s="454"/>
      <c r="AO1" s="243"/>
    </row>
    <row r="2" spans="1:41" ht="16.5" thickBot="1">
      <c r="A2" s="463">
        <f>IF(AND(E37="",C38="",C39="",D39="",E39="",C40="",C42="",D42="",E42="",C44="",C45="",C47="",D47="",E47="",C59="",D59="",E59="",C60="",C54="",D54="",E54="",C56="",C63="",D63="",E63="",C64="",D64="",E64="",C65=""),"",".")</f>
      </c>
      <c r="B2" s="591" t="s">
        <v>372</v>
      </c>
      <c r="C2" s="28"/>
      <c r="D2" s="29"/>
      <c r="E2" s="28"/>
      <c r="F2" s="2"/>
      <c r="G2" s="167"/>
      <c r="H2" s="428"/>
      <c r="I2" s="92"/>
      <c r="J2" s="668" t="s">
        <v>373</v>
      </c>
      <c r="K2" s="430"/>
      <c r="L2" s="431"/>
      <c r="M2" s="430"/>
      <c r="N2" s="430"/>
      <c r="O2" s="432"/>
      <c r="P2" s="432"/>
      <c r="Q2" s="432"/>
      <c r="R2" s="433"/>
      <c r="S2" s="434"/>
      <c r="T2" s="430"/>
      <c r="U2" s="430"/>
      <c r="V2" s="429"/>
      <c r="W2" s="429">
        <f>C10</f>
        <v>0</v>
      </c>
      <c r="X2" s="435"/>
      <c r="Y2" s="436"/>
      <c r="Z2" s="436"/>
      <c r="AA2" s="244"/>
      <c r="AB2" s="28"/>
      <c r="AC2" s="245"/>
      <c r="AD2" s="246"/>
      <c r="AE2" s="247"/>
      <c r="AF2" s="248" t="s">
        <v>122</v>
      </c>
      <c r="AG2" s="92"/>
      <c r="AH2" s="242"/>
      <c r="AI2" s="242"/>
      <c r="AJ2" s="242"/>
      <c r="AK2" s="242"/>
      <c r="AL2" s="242"/>
      <c r="AM2" s="242"/>
      <c r="AN2" s="242"/>
      <c r="AO2" s="249"/>
    </row>
    <row r="3" spans="1:41" ht="12.75">
      <c r="A3" s="463">
        <f>IF(AND(C67="",D67="",E67="",C68="",D68="",E68="",C69="",C71="",D71="",E71="",C72="",D72="",E72="",C73="",C74="",C76="",D76="",E76="",C77="",D77="",E77="",C78="",C79="",C82="",D82="",E82="",C83="",D83="",E83="",C84=""),"",".")</f>
      </c>
      <c r="B3" s="40" t="s">
        <v>371</v>
      </c>
      <c r="C3" s="28"/>
      <c r="D3" s="28"/>
      <c r="E3" s="28"/>
      <c r="F3" s="2"/>
      <c r="G3" s="167"/>
      <c r="H3" s="92"/>
      <c r="I3" s="92"/>
      <c r="J3" s="469"/>
      <c r="K3" s="28"/>
      <c r="L3" s="28"/>
      <c r="M3" s="250"/>
      <c r="N3" s="251"/>
      <c r="O3" s="252"/>
      <c r="P3" s="28"/>
      <c r="Q3" s="28"/>
      <c r="R3" s="28"/>
      <c r="S3" s="28"/>
      <c r="T3" s="28" t="s">
        <v>123</v>
      </c>
      <c r="U3" s="28"/>
      <c r="V3" s="28"/>
      <c r="W3" s="28"/>
      <c r="X3" s="28"/>
      <c r="Y3" s="244"/>
      <c r="Z3" s="244"/>
      <c r="AA3" s="253"/>
      <c r="AB3" s="2"/>
      <c r="AC3" s="244"/>
      <c r="AD3" s="244"/>
      <c r="AE3" s="247"/>
      <c r="AF3" s="248"/>
      <c r="AG3" s="92"/>
      <c r="AH3" s="241"/>
      <c r="AI3" s="164"/>
      <c r="AJ3" s="254"/>
      <c r="AK3" s="164"/>
      <c r="AL3" s="164"/>
      <c r="AM3" s="164"/>
      <c r="AN3" s="165"/>
      <c r="AO3" s="249"/>
    </row>
    <row r="4" spans="1:41" ht="14.25">
      <c r="A4" s="464">
        <f>IF(AND(C86="",D86="",E86="",C87="",D87="",E87="",C88="",C90="",D90="",E90="",C91="",D91="",E91="",C92="",C93="",C95="",D95="",E95="",C96="",D96="",E96="",C97="",C98="",C100="",D100="",E100="",C101="",D101="",E101="",C102=""),"",".")</f>
      </c>
      <c r="B4" s="2"/>
      <c r="C4" s="28"/>
      <c r="D4" s="28"/>
      <c r="E4" s="28"/>
      <c r="F4" s="2"/>
      <c r="G4" s="167"/>
      <c r="H4" s="92"/>
      <c r="I4" s="92"/>
      <c r="J4" s="255"/>
      <c r="K4" s="256"/>
      <c r="L4" s="450" t="s">
        <v>125</v>
      </c>
      <c r="M4" s="445"/>
      <c r="N4" s="435"/>
      <c r="O4" s="445"/>
      <c r="P4" s="446">
        <f>C13</f>
        <v>0</v>
      </c>
      <c r="Q4" s="437"/>
      <c r="R4" s="437"/>
      <c r="S4" s="438"/>
      <c r="T4" s="439"/>
      <c r="U4" s="440"/>
      <c r="V4" s="441"/>
      <c r="W4" s="450" t="s">
        <v>124</v>
      </c>
      <c r="X4" s="442"/>
      <c r="Y4" s="2"/>
      <c r="Z4" s="443"/>
      <c r="AA4" s="451"/>
      <c r="AB4" s="444">
        <f>C12</f>
        <v>0</v>
      </c>
      <c r="AC4" s="247"/>
      <c r="AD4" s="257"/>
      <c r="AE4" s="258"/>
      <c r="AF4" s="196"/>
      <c r="AG4" s="92"/>
      <c r="AH4" s="166"/>
      <c r="AI4" s="2"/>
      <c r="AJ4" s="259" t="s">
        <v>306</v>
      </c>
      <c r="AK4" s="260"/>
      <c r="AL4" s="260"/>
      <c r="AM4" s="260"/>
      <c r="AN4" s="167"/>
      <c r="AO4" s="249"/>
    </row>
    <row r="5" spans="1:41" ht="14.25">
      <c r="A5" s="464" t="str">
        <f>IF(AND(F10="",F11="",F12="",F13="",F14="",F15="",F18="",F19="",F22="",F23="",F25="",F26="",F28="",F29="",F30="",F32="",F33="",F34="",F37="",F38="",F39="",F40="",F41="",F42="",F43="",F44="",F45=""),"",".")</f>
        <v>.</v>
      </c>
      <c r="B5" s="478" t="str">
        <f>IF(AND(F95="",F96="",F97="",F98="",F100="",F101="",F102=""),"",".")</f>
        <v>.</v>
      </c>
      <c r="C5" s="28"/>
      <c r="D5" s="28"/>
      <c r="E5" s="28"/>
      <c r="F5" s="2"/>
      <c r="G5" s="167"/>
      <c r="H5" s="92"/>
      <c r="I5" s="92"/>
      <c r="J5" s="185"/>
      <c r="K5" s="28"/>
      <c r="L5" s="28"/>
      <c r="M5" s="250"/>
      <c r="N5" s="250"/>
      <c r="O5" s="261"/>
      <c r="P5" s="28"/>
      <c r="Q5" s="28"/>
      <c r="R5" s="28"/>
      <c r="S5" s="447"/>
      <c r="T5" s="447"/>
      <c r="U5" s="448"/>
      <c r="V5" s="447"/>
      <c r="W5" s="450" t="s">
        <v>210</v>
      </c>
      <c r="X5" s="442"/>
      <c r="Y5" s="2"/>
      <c r="Z5" s="449"/>
      <c r="AA5" s="451"/>
      <c r="AB5" s="446">
        <f>C18</f>
        <v>0</v>
      </c>
      <c r="AC5" s="244"/>
      <c r="AD5" s="244"/>
      <c r="AE5" s="258"/>
      <c r="AF5" s="196"/>
      <c r="AG5" s="92"/>
      <c r="AH5" s="166"/>
      <c r="AI5" s="2"/>
      <c r="AJ5" s="259" t="s">
        <v>307</v>
      </c>
      <c r="AK5" s="2"/>
      <c r="AL5" s="2"/>
      <c r="AM5" s="2"/>
      <c r="AN5" s="167"/>
      <c r="AO5" s="249"/>
    </row>
    <row r="6" spans="1:41" ht="15.75">
      <c r="A6" s="464" t="str">
        <f>IF(AND(F47="",F59="",F60="",F54="",F55="",F56="",F63="",F64="",F65="",F67="",F68="",F69="",F71="",F72="",F73="",F74="",F76="",F77="",F78="",F79="",F82="",F83="",F84="",F86="",F87="",F88="",F90="",F91="",F92="",F93=""),"",".")</f>
        <v>.</v>
      </c>
      <c r="B6" s="4" t="s">
        <v>143</v>
      </c>
      <c r="C6" s="30"/>
      <c r="D6" s="28"/>
      <c r="E6" s="28"/>
      <c r="F6" s="2"/>
      <c r="G6" s="167"/>
      <c r="H6" s="92"/>
      <c r="I6" s="92"/>
      <c r="J6" s="185"/>
      <c r="K6" s="28"/>
      <c r="L6" s="28"/>
      <c r="M6" s="250"/>
      <c r="N6" s="250"/>
      <c r="O6" s="261"/>
      <c r="P6" s="28"/>
      <c r="Q6" s="28"/>
      <c r="R6" s="28"/>
      <c r="S6" s="28"/>
      <c r="T6" s="28"/>
      <c r="U6" s="28"/>
      <c r="V6" s="28"/>
      <c r="W6" s="28"/>
      <c r="X6" s="28"/>
      <c r="Y6" s="244"/>
      <c r="Z6" s="194"/>
      <c r="AA6" s="2"/>
      <c r="AB6" s="2"/>
      <c r="AC6" s="2"/>
      <c r="AD6" s="2"/>
      <c r="AE6" s="2"/>
      <c r="AF6" s="167"/>
      <c r="AG6" s="92"/>
      <c r="AH6" s="166"/>
      <c r="AI6" s="2"/>
      <c r="AJ6" s="262"/>
      <c r="AK6" s="2"/>
      <c r="AL6" s="2"/>
      <c r="AM6" s="2"/>
      <c r="AN6" s="167"/>
      <c r="AO6" s="249"/>
    </row>
    <row r="7" spans="1:41" ht="12.75" customHeight="1">
      <c r="A7" s="464">
        <f>IF(OR(G10="Compulsory!",G12="Compulsory!",G13="Compulsory!",G14="Compulsory!",G19="Compulsory!",G23="Compulsory!",G25="Compulsory!",G29="Compulsory!",G30="Compulsory!",G33="Compulsory!",G34="Compulsory!",G38="Compulsory!",G40="Compulsory!",G44="Compulsory!",G45="Compulsory!",G60="Compulsory!",G55="Compulsory!",G56="Compulsory!",G65="Compulsory!",G69="Compulsory!",G73="Compulsory!",G74="Compulsory!",G78="Compulsory!",G79="Compulsory!",G84="Compulsory!",G88="Compulsory!",G92="Compulsory!",G93="Compulsory!"),".","")</f>
      </c>
      <c r="B7" s="5">
        <f>IF(B8="Ready to enter new data!",1,"")</f>
        <v>1</v>
      </c>
      <c r="C7" s="30"/>
      <c r="D7" s="28"/>
      <c r="E7" s="28"/>
      <c r="F7" s="2"/>
      <c r="G7" s="167"/>
      <c r="H7" s="92"/>
      <c r="I7" s="92"/>
      <c r="J7" s="185"/>
      <c r="K7" s="263"/>
      <c r="L7" s="264"/>
      <c r="M7" s="194"/>
      <c r="N7" s="265" t="s">
        <v>126</v>
      </c>
      <c r="O7" s="266"/>
      <c r="P7" s="267">
        <f>IF(OR(H2="PRINT",AND(H1&lt;&gt;"override",B103="")),"",IF(AND('DB'!EH4="CR",'DB'!EN4="CR",'DB'!ET4="CR")," P,B,O:",IF(AND('DB'!EH4="CR",'DB'!EN4="CR"),"   P,B:",IF(AND('DB'!EN4="CR",'DB'!ET4="CR"),"   B,O:",IF(AND('DB'!EH4="CR",'DB'!ET4="CR"),"   P,O:",IF('DB'!EH4="CR","   P:",IF('DB'!EN4="CR","   B:",IF('DB'!ET4="CR","   O:",""))))))))</f>
      </c>
      <c r="Q7" s="268"/>
      <c r="R7" s="269">
        <f>IF(OR(H2&lt;&gt;"PRINT",AND(H1&lt;&gt;"override",B102="")),"",IF(AND('DB'!EH4="CR",'DB'!EN4="CR",'DB'!ET4="CR"),"P,B,O:",IF(AND('DB'!EH4="CR",'DB'!EN4="CR"),"P,B:   ",IF(AND('DB'!EN4="CR",'DB'!ET4="CR"),"B,O:   ",IF(AND('DB'!EH4="CR",'DB'!ET4="CR"),"P,O:   ",IF('DB'!EH4="CR","P:      ",IF('DB'!EN4="CR","B:      ",IF('DB'!ET4="CR","O:      ",""))))))))</f>
      </c>
      <c r="S7" s="270">
        <f>IF(H2="PRINT"," Critical","")</f>
      </c>
      <c r="T7" s="271"/>
      <c r="U7" s="272"/>
      <c r="V7" s="272"/>
      <c r="W7" s="272"/>
      <c r="X7" s="272"/>
      <c r="Y7" s="273"/>
      <c r="Z7" s="274" t="str">
        <f>IF(H2="PRINT","","Critical                ")</f>
        <v>Critical                </v>
      </c>
      <c r="AA7" s="244"/>
      <c r="AB7" s="244"/>
      <c r="AC7" s="244"/>
      <c r="AD7" s="244"/>
      <c r="AE7" s="244"/>
      <c r="AF7" s="196"/>
      <c r="AG7" s="92"/>
      <c r="AH7" s="166"/>
      <c r="AI7" s="2"/>
      <c r="AJ7" s="302" t="s">
        <v>130</v>
      </c>
      <c r="AK7" s="194"/>
      <c r="AL7" s="28"/>
      <c r="AM7" s="28"/>
      <c r="AN7" s="276"/>
      <c r="AO7" s="249"/>
    </row>
    <row r="8" spans="1:41" ht="12.75" customHeight="1" thickBot="1">
      <c r="A8" s="463">
        <f>IF(OR(G97="Compulsory!",G98="Compulsory!",G102="Compulsory!"),".","")</f>
      </c>
      <c r="B8" s="6" t="str">
        <f>IF(AND(A1="",A2="",A3="",A4=""),"Ready to enter new data!","Table currently contains data. Clear table before making or retrieving an assessment.")</f>
        <v>Ready to enter new data!</v>
      </c>
      <c r="C8" s="31"/>
      <c r="D8" s="7"/>
      <c r="E8" s="7"/>
      <c r="F8" s="2"/>
      <c r="G8" s="167"/>
      <c r="H8" s="92"/>
      <c r="I8" s="92"/>
      <c r="J8" s="185"/>
      <c r="K8" s="28"/>
      <c r="L8" s="28"/>
      <c r="M8" s="28"/>
      <c r="N8" s="28"/>
      <c r="O8" s="28"/>
      <c r="P8" s="277">
        <f>IF(OR(H2="PRINT",AND(H1&lt;&gt;"override",B103="")),"",IF(AND('DB'!EH4="EN",'DB'!EN4="EN",'DB'!ET4="EN")," P,B,O:",IF(AND('DB'!EH4="EN",'DB'!EN4="EN"),"   P,B:",IF(AND('DB'!EN4="EN",'DB'!ET4="EN"),"   B,O:",IF(AND('DB'!EH4="EN",'DB'!ET4="EN"),"   P,O:",IF('DB'!EH4="EN","   P:",IF('DB'!EN4="EN","   B:",IF('DB'!ET4="EN","   O:",""))))))))</f>
      </c>
      <c r="Q8" s="278"/>
      <c r="R8" s="269">
        <f>IF(OR(H2&lt;&gt;"PRINT",AND(H1&lt;&gt;"override",B102="")),"",IF(AND('DB'!EH4="EN",'DB'!EN4="EN",'DB'!ET4="EN"),"P,B,O:",IF(AND('DB'!EH4="EN",'DB'!EN4="EN"),"P,B:   ",IF(AND('DB'!EN4="EN",'DB'!ET4="EN"),"B,O:   ",IF(AND('DB'!EH4="EN",'DB'!ET4="EN"),"P,O:   ",IF('DB'!EH4="EN","P:      ",IF('DB'!EN4="EN","B:      ",IF('DB'!ET4="EN","O:      ",""))))))))</f>
      </c>
      <c r="S8" s="270">
        <f>IF(H2="PRINT"," Endangered","")</f>
      </c>
      <c r="T8" s="271"/>
      <c r="U8" s="279"/>
      <c r="V8" s="279"/>
      <c r="W8" s="279"/>
      <c r="X8" s="279"/>
      <c r="Y8" s="273"/>
      <c r="Z8" s="280" t="str">
        <f>IF(H2="PRINT","","Endangered                                ")</f>
        <v>Endangered                                </v>
      </c>
      <c r="AA8" s="28"/>
      <c r="AB8" s="281"/>
      <c r="AC8" s="282"/>
      <c r="AD8" s="245"/>
      <c r="AE8" s="283"/>
      <c r="AF8" s="248"/>
      <c r="AG8" s="92"/>
      <c r="AH8" s="166"/>
      <c r="AI8" s="304"/>
      <c r="AJ8" s="304" t="s">
        <v>374</v>
      </c>
      <c r="AK8" s="304"/>
      <c r="AL8" s="28"/>
      <c r="AM8" s="28"/>
      <c r="AN8" s="276"/>
      <c r="AO8" s="249"/>
    </row>
    <row r="9" spans="1:41" ht="12.75" customHeight="1">
      <c r="A9" s="166"/>
      <c r="B9" s="630" t="s">
        <v>162</v>
      </c>
      <c r="C9" s="631"/>
      <c r="D9" s="631"/>
      <c r="E9" s="632"/>
      <c r="F9" s="2"/>
      <c r="G9" s="167"/>
      <c r="H9" s="92"/>
      <c r="I9" s="92"/>
      <c r="J9" s="284" t="s">
        <v>127</v>
      </c>
      <c r="K9" s="28"/>
      <c r="L9" s="28"/>
      <c r="M9" s="28"/>
      <c r="N9" s="28"/>
      <c r="O9" s="28"/>
      <c r="P9" s="285">
        <f>IF(OR(H2="PRINT",AND(H1&lt;&gt;"override",B103="")),"",IF(AND('DB'!EH4="VU",'DB'!EN4="VU",'DB'!ET4="VU")," P,B,O:",IF(AND('DB'!EH4="VU",'DB'!EN4="VU"),"   P,B:",IF(AND('DB'!EN4="VU",'DB'!ET4="VU"),"   B,O:",IF(AND('DB'!EH4="VU",'DB'!ET4="VU"),"   P,O:",IF('DB'!EH4="VU","   P:",IF('DB'!EN4="VU","   B:",IF('DB'!ET4="VU","   O:",""))))))))</f>
      </c>
      <c r="Q9" s="286"/>
      <c r="R9" s="269">
        <f>IF(OR(H2&lt;&gt;"PRINT",AND(H1&lt;&gt;"override",B102="")),"",IF(AND('DB'!EH4="VU",'DB'!EN4="VU",'DB'!ET4="VU"),"P,B,O:",IF(AND('DB'!EH4="VU",'DB'!EN4="VU"),"P,B:   ",IF(AND('DB'!EN4="VU",'DB'!ET4="VU"),"B,O:   ",IF(AND('DB'!EH4="VU",'DB'!ET4="VU"),"P,O:   ",IF('DB'!EH4="VU","P:      ",IF('DB'!EN4="VU","B:      ",IF('DB'!ET4="VU","O:      ",""))))))))</f>
      </c>
      <c r="S9" s="270">
        <f>IF(H2="PRINT"," Vulnerable","")</f>
      </c>
      <c r="T9" s="287"/>
      <c r="U9" s="288"/>
      <c r="V9" s="288"/>
      <c r="W9" s="288"/>
      <c r="X9" s="288"/>
      <c r="Y9" s="273"/>
      <c r="Z9" s="289" t="str">
        <f>IF(H2="PRINT","","Vulnerable                                  ")</f>
        <v>Vulnerable                                  </v>
      </c>
      <c r="AA9" s="28"/>
      <c r="AB9" s="290"/>
      <c r="AC9" s="282"/>
      <c r="AD9" s="245"/>
      <c r="AE9" s="283"/>
      <c r="AF9" s="248"/>
      <c r="AG9" s="92"/>
      <c r="AH9" s="166"/>
      <c r="AI9" s="304"/>
      <c r="AJ9" s="304" t="s">
        <v>131</v>
      </c>
      <c r="AK9" s="304"/>
      <c r="AL9" s="28"/>
      <c r="AM9" s="28"/>
      <c r="AN9" s="276"/>
      <c r="AO9" s="249"/>
    </row>
    <row r="10" spans="1:41" ht="12.75" customHeight="1">
      <c r="A10" s="166"/>
      <c r="B10" s="8" t="s">
        <v>166</v>
      </c>
      <c r="C10" s="633"/>
      <c r="D10" s="628"/>
      <c r="E10" s="629"/>
      <c r="F10" s="36" t="str">
        <f aca="true" t="shared" si="0" ref="F10:F18">IF(C10="","*","")</f>
        <v>*</v>
      </c>
      <c r="G10" s="178">
        <f>IF(C10="DD","Compulsory!","")</f>
      </c>
      <c r="H10" s="92"/>
      <c r="I10" s="92"/>
      <c r="J10" s="284" t="s">
        <v>128</v>
      </c>
      <c r="K10" s="28"/>
      <c r="L10" s="28"/>
      <c r="M10" s="28"/>
      <c r="N10" s="28"/>
      <c r="O10" s="28"/>
      <c r="P10" s="291">
        <f>IF(OR(H2="PRINT",AND(H1&lt;&gt;"override",B103="")),"",IF(AND('DB'!EH4="LR",'DB'!EN4="LR",'DB'!ET4="LR")," P,B,O:",IF(AND('DB'!EH4="LR",'DB'!EN4="LR"),"   P,B:",IF(AND('DB'!EN4="LR",'DB'!ET4="LR"),"   B,O:",IF(AND('DB'!EH4="LR",'DB'!ET4="LR"),"   P,O:",IF('DB'!EH4="LR","   P:",IF('DB'!EN4="LR","   B:",IF('DB'!ET4="LR","   O:",""))))))))</f>
      </c>
      <c r="Q10" s="292"/>
      <c r="R10" s="269">
        <f>IF(OR(H2&lt;&gt;"PRINT",AND(H1&lt;&gt;"override",B102="")),"",IF(AND('DB'!EH4="LR",'DB'!EN4="LR",'DB'!ET4="LR"),"P,B,O:",IF(AND('DB'!EH4="LR",'DB'!EN4="LR"),"P,B:   ",IF(AND('DB'!EN4="LR",'DB'!ET4="LR"),"B,O:   ",IF(AND('DB'!EH4="LR",'DB'!ET4="LR"),"P,O:   ",IF('DB'!EH4="LR","P:      ",IF('DB'!EN4="LR","B:      ",IF('DB'!ET4="LR","O:      ",""))))))))</f>
      </c>
      <c r="S10" s="270">
        <f>IF(H2="PRINT"," Low Risk","")</f>
      </c>
      <c r="T10" s="289"/>
      <c r="U10" s="293"/>
      <c r="V10" s="293"/>
      <c r="W10" s="293"/>
      <c r="X10" s="293"/>
      <c r="Y10" s="273"/>
      <c r="Z10" s="294" t="str">
        <f>IF(H2="PRINT","","Low Risk                                     ")</f>
        <v>Low Risk                                     </v>
      </c>
      <c r="AA10" s="28"/>
      <c r="AB10" s="28"/>
      <c r="AC10" s="295"/>
      <c r="AD10" s="245"/>
      <c r="AE10" s="283"/>
      <c r="AF10" s="248"/>
      <c r="AG10" s="92"/>
      <c r="AH10" s="166"/>
      <c r="AI10" s="304"/>
      <c r="AJ10" s="304" t="s">
        <v>375</v>
      </c>
      <c r="AK10" s="304"/>
      <c r="AL10" s="28"/>
      <c r="AM10" s="28"/>
      <c r="AN10" s="276"/>
      <c r="AO10" s="249"/>
    </row>
    <row r="11" spans="1:41" ht="12.75" customHeight="1">
      <c r="A11" s="166"/>
      <c r="B11" s="8" t="s">
        <v>161</v>
      </c>
      <c r="C11" s="25"/>
      <c r="D11" s="634"/>
      <c r="E11" s="635"/>
      <c r="F11" s="36" t="str">
        <f t="shared" si="0"/>
        <v>*</v>
      </c>
      <c r="G11" s="178"/>
      <c r="H11" s="92"/>
      <c r="I11" s="92"/>
      <c r="J11" s="284" t="s">
        <v>129</v>
      </c>
      <c r="K11" s="28"/>
      <c r="L11" s="28"/>
      <c r="M11" s="28"/>
      <c r="N11" s="28"/>
      <c r="O11" s="28"/>
      <c r="P11" s="297">
        <f>IF(OR(H2="PRINT",AND(H1&lt;&gt;"override",B103="")),"",IF(AND('DB'!EH4="DD",'DB'!EN4="DD",'DB'!ET4="DD")," P,B,O:",IF(AND('DB'!EH4="DD",'DB'!EN4="DD"),"   P,B:",IF(AND('DB'!EN4="DD",'DB'!ET4="DD"),"   B,O:",IF(AND('DB'!EH4="DD",'DB'!ET4="DD"),"   P,O:",IF('DB'!EH4="DD","   P:",IF('DB'!EN4="DD","   B:",IF('DB'!ET4="DD","   O:",""))))))))</f>
      </c>
      <c r="Q11" s="298"/>
      <c r="R11" s="269">
        <f>IF(OR(H2&lt;&gt;"PRINT",AND(H1&lt;&gt;"override",B102="")),"",IF(AND('DB'!EH4="DD",'DB'!EN4="DD",'DB'!ET4="DD"),"P,B,O:",IF(AND('DB'!EH4="DD",'DB'!EN4="DD"),"P,B:   ",IF(AND('DB'!EN4="DD",'DB'!ET4="DD"),"B,O:   ",IF(AND('DB'!EH4="DD",'DB'!ET4="DD"),"P,O:   ",IF('DB'!EH4="DD","P:      ",IF('DB'!EN4="DD","B:      ",IF('DB'!ET4="DD","O:      ",""))))))))</f>
      </c>
      <c r="S11" s="270">
        <f>IF(H2="PRINT"," Data Deficient","")</f>
      </c>
      <c r="T11" s="299"/>
      <c r="U11" s="300"/>
      <c r="V11" s="300"/>
      <c r="W11" s="300"/>
      <c r="X11" s="300"/>
      <c r="Y11" s="273"/>
      <c r="Z11" s="299" t="str">
        <f>IF(H2="PRINT","","Data Deficient                             ")</f>
        <v>Data Deficient                             </v>
      </c>
      <c r="AA11" s="28"/>
      <c r="AB11" s="28"/>
      <c r="AC11" s="282"/>
      <c r="AD11" s="245"/>
      <c r="AE11" s="283"/>
      <c r="AF11" s="301"/>
      <c r="AG11" s="92"/>
      <c r="AH11" s="166"/>
      <c r="AI11" s="304"/>
      <c r="AJ11" s="296"/>
      <c r="AK11" s="304"/>
      <c r="AL11" s="28"/>
      <c r="AM11" s="28"/>
      <c r="AN11" s="276"/>
      <c r="AO11" s="249"/>
    </row>
    <row r="12" spans="1:41" ht="12.75" customHeight="1">
      <c r="A12" s="166"/>
      <c r="B12" s="8" t="s">
        <v>164</v>
      </c>
      <c r="C12" s="26"/>
      <c r="D12" s="636"/>
      <c r="E12" s="637"/>
      <c r="F12" s="36" t="str">
        <f t="shared" si="0"/>
        <v>*</v>
      </c>
      <c r="G12" s="178">
        <f>IF(C12="DD","Compulsory!","")</f>
      </c>
      <c r="H12" s="92"/>
      <c r="I12" s="92"/>
      <c r="J12" s="185"/>
      <c r="K12" s="28"/>
      <c r="L12" s="28"/>
      <c r="M12" s="28"/>
      <c r="N12" s="303"/>
      <c r="O12" s="303"/>
      <c r="P12" s="303"/>
      <c r="Q12" s="303"/>
      <c r="R12" s="303"/>
      <c r="S12" s="303"/>
      <c r="T12" s="303"/>
      <c r="U12" s="303"/>
      <c r="V12" s="303"/>
      <c r="W12" s="303"/>
      <c r="X12" s="303"/>
      <c r="Y12" s="303"/>
      <c r="Z12" s="303"/>
      <c r="AA12" s="303"/>
      <c r="AB12" s="303"/>
      <c r="AC12" s="303"/>
      <c r="AD12" s="244"/>
      <c r="AE12" s="247"/>
      <c r="AF12" s="196"/>
      <c r="AG12" s="92"/>
      <c r="AH12" s="166"/>
      <c r="AI12" s="304"/>
      <c r="AJ12" s="302" t="s">
        <v>135</v>
      </c>
      <c r="AK12" s="565"/>
      <c r="AL12" s="28"/>
      <c r="AM12" s="28"/>
      <c r="AN12" s="276"/>
      <c r="AO12" s="249"/>
    </row>
    <row r="13" spans="1:41" ht="12.75" customHeight="1">
      <c r="A13" s="166"/>
      <c r="B13" s="8" t="s">
        <v>163</v>
      </c>
      <c r="C13" s="627"/>
      <c r="D13" s="638"/>
      <c r="E13" s="577"/>
      <c r="F13" s="36" t="str">
        <f t="shared" si="0"/>
        <v>*</v>
      </c>
      <c r="G13" s="178">
        <f>IF(C13="DD","Compulsory!","")</f>
      </c>
      <c r="H13" s="92"/>
      <c r="I13" s="92"/>
      <c r="J13" s="305"/>
      <c r="K13" s="306"/>
      <c r="L13" s="307"/>
      <c r="M13" s="308" t="s">
        <v>322</v>
      </c>
      <c r="N13" s="308"/>
      <c r="O13" s="309" t="s">
        <v>323</v>
      </c>
      <c r="P13" s="310"/>
      <c r="Q13" s="311" t="s">
        <v>324</v>
      </c>
      <c r="R13" s="312"/>
      <c r="S13" s="312"/>
      <c r="T13" s="520"/>
      <c r="U13" s="311" t="s">
        <v>325</v>
      </c>
      <c r="V13" s="313"/>
      <c r="W13" s="520"/>
      <c r="X13" s="311" t="s">
        <v>326</v>
      </c>
      <c r="Y13" s="311"/>
      <c r="Z13" s="313"/>
      <c r="AA13" s="309" t="s">
        <v>327</v>
      </c>
      <c r="AB13" s="250"/>
      <c r="AC13" s="303"/>
      <c r="AD13" s="244"/>
      <c r="AE13" s="247"/>
      <c r="AF13" s="196"/>
      <c r="AG13" s="92"/>
      <c r="AH13" s="166"/>
      <c r="AI13" s="304"/>
      <c r="AJ13" s="304" t="s">
        <v>138</v>
      </c>
      <c r="AK13" s="304"/>
      <c r="AL13" s="28"/>
      <c r="AM13" s="28"/>
      <c r="AN13" s="276"/>
      <c r="AO13" s="249"/>
    </row>
    <row r="14" spans="1:41" ht="12.75" customHeight="1">
      <c r="A14" s="166"/>
      <c r="B14" s="8" t="s">
        <v>160</v>
      </c>
      <c r="C14" s="627"/>
      <c r="D14" s="639"/>
      <c r="E14" s="640"/>
      <c r="F14" s="36" t="str">
        <f t="shared" si="0"/>
        <v>*</v>
      </c>
      <c r="G14" s="178">
        <f>IF(C14="DD","Compulsory!","")</f>
      </c>
      <c r="H14" s="92"/>
      <c r="I14" s="92"/>
      <c r="J14" s="305"/>
      <c r="K14" s="306"/>
      <c r="L14" s="307"/>
      <c r="M14" s="308"/>
      <c r="N14" s="314" t="s">
        <v>132</v>
      </c>
      <c r="O14" s="315" t="str">
        <f>IF(OR(H2="PRINT",AND(H1&lt;&gt;"override",B103="")),"*",'DB'!EI4)</f>
        <v>*</v>
      </c>
      <c r="P14" s="316"/>
      <c r="Q14" s="521" t="str">
        <f>IF(OR(H2="PRINT",AND(H1&lt;&gt;"override",B103="")),"   *",IF('DB'!EJ4="CR","  CR",IF('DB'!EJ4="EN","  EN",IF('DB'!EJ4="VU","  VU",IF('DB'!EJ4="LR","  LR","  DD")))))</f>
        <v>   *</v>
      </c>
      <c r="R14" s="317"/>
      <c r="S14" s="317"/>
      <c r="T14" s="318"/>
      <c r="U14" s="521"/>
      <c r="V14" s="320" t="str">
        <f>IF(OR(H2="PRINT",AND(H1&lt;&gt;"override",B103="")),"*     ",IF('DB'!EK4="CR","CR    ",IF('DB'!EK4="EN","EN    ",IF('DB'!EK4="VU","VU    ",IF('DB'!EK4="LR","LR    ","DD    ")))))</f>
        <v>*     </v>
      </c>
      <c r="W14" s="316"/>
      <c r="X14" s="317"/>
      <c r="Y14" s="319" t="str">
        <f>IF(OR(H2="PRINT",AND(H1&lt;&gt;"override",B103="")),"* ",'DB'!EL4)</f>
        <v>* </v>
      </c>
      <c r="Z14" s="321"/>
      <c r="AA14" s="315" t="str">
        <f>IF(OR(H2="PRINT",AND(H1&lt;&gt;"override",B103="")),"*",'DB'!EM4)</f>
        <v>*</v>
      </c>
      <c r="AB14" s="250"/>
      <c r="AC14" s="303"/>
      <c r="AD14" s="244"/>
      <c r="AE14" s="247"/>
      <c r="AF14" s="196"/>
      <c r="AG14" s="92"/>
      <c r="AH14" s="166"/>
      <c r="AI14" s="304"/>
      <c r="AJ14" s="304" t="s">
        <v>139</v>
      </c>
      <c r="AK14" s="304"/>
      <c r="AL14" s="28"/>
      <c r="AM14" s="28"/>
      <c r="AN14" s="276"/>
      <c r="AO14" s="249"/>
    </row>
    <row r="15" spans="1:41" ht="12.75" customHeight="1">
      <c r="A15" s="166"/>
      <c r="B15" s="8" t="s">
        <v>171</v>
      </c>
      <c r="C15" s="627"/>
      <c r="D15" s="628"/>
      <c r="E15" s="629"/>
      <c r="F15" s="36" t="str">
        <f t="shared" si="0"/>
        <v>*</v>
      </c>
      <c r="G15" s="178"/>
      <c r="H15" s="92"/>
      <c r="I15" s="92"/>
      <c r="J15" s="305"/>
      <c r="K15" s="306"/>
      <c r="L15" s="307"/>
      <c r="M15" s="308"/>
      <c r="N15" s="314" t="s">
        <v>133</v>
      </c>
      <c r="O15" s="315" t="str">
        <f>IF(OR(H2="PRINT",AND(H1&lt;&gt;"override",B103="")),"*",'DB'!EO4)</f>
        <v>*</v>
      </c>
      <c r="P15" s="316"/>
      <c r="Q15" s="521" t="str">
        <f>IF(OR(H2="PRINT",AND(H1&lt;&gt;"override",B103="")),"   *",IF('DB'!EP4="CR","  CR",IF('DB'!EP4="EN","  EN",IF('DB'!EP4="VU","  VU",IF('DB'!EP4="LR","  LR","  DD")))))</f>
        <v>   *</v>
      </c>
      <c r="R15" s="317"/>
      <c r="S15" s="317"/>
      <c r="T15" s="318"/>
      <c r="U15" s="521"/>
      <c r="V15" s="320" t="str">
        <f>IF(OR(H2="PRINT",AND(H1&lt;&gt;"override",B103="")),"*     ",IF('DB'!EQ4="CR","CR    ",IF('DB'!EQ4="EN","EN    ",IF('DB'!EQ4="VU","VU    ",IF('DB'!EQ4="LR","LR    ","DD    ")))))</f>
        <v>*     </v>
      </c>
      <c r="W15" s="316"/>
      <c r="X15" s="317"/>
      <c r="Y15" s="319" t="str">
        <f>IF(OR(H2="PRINT",AND(H1&lt;&gt;"override",B103="")),"* ",'DB'!ER4)</f>
        <v>* </v>
      </c>
      <c r="Z15" s="321"/>
      <c r="AA15" s="315" t="str">
        <f>IF(OR(H2="PRINT",AND(H1&lt;&gt;"override",B103="")),"*",'DB'!ES4)</f>
        <v>*</v>
      </c>
      <c r="AB15" s="250"/>
      <c r="AC15" s="303"/>
      <c r="AD15" s="244"/>
      <c r="AE15" s="247"/>
      <c r="AF15" s="196"/>
      <c r="AG15" s="92"/>
      <c r="AH15" s="166"/>
      <c r="AI15" s="304"/>
      <c r="AJ15" s="304"/>
      <c r="AK15" s="304"/>
      <c r="AL15" s="28"/>
      <c r="AM15" s="28"/>
      <c r="AN15" s="276"/>
      <c r="AO15" s="249"/>
    </row>
    <row r="16" spans="1:41" ht="12.75" customHeight="1" thickBot="1">
      <c r="A16" s="166"/>
      <c r="B16" s="8" t="s">
        <v>167</v>
      </c>
      <c r="C16" s="627"/>
      <c r="D16" s="628"/>
      <c r="E16" s="629"/>
      <c r="F16" s="36"/>
      <c r="G16" s="178"/>
      <c r="H16" s="92"/>
      <c r="I16" s="92"/>
      <c r="J16" s="305"/>
      <c r="K16" s="54"/>
      <c r="L16" s="244"/>
      <c r="M16" s="303"/>
      <c r="N16" s="314" t="s">
        <v>134</v>
      </c>
      <c r="O16" s="322" t="str">
        <f>IF(OR(H2="PRINT",AND(H1&lt;&gt;"override",B103="")),"*",'DB'!EU4)</f>
        <v>*</v>
      </c>
      <c r="P16" s="323"/>
      <c r="Q16" s="522" t="str">
        <f>IF(OR(H2="PRINT",AND(H1&lt;&gt;"override",B103="")),"   *",IF('DB'!EV4="CR","  CR",IF('DB'!EV4="EN","  EN",IF('DB'!EV4="VU","  VU",IF('DB'!EV4="LR","  LR","  DD")))))</f>
        <v>   *</v>
      </c>
      <c r="R16" s="324"/>
      <c r="S16" s="324"/>
      <c r="T16" s="325"/>
      <c r="U16" s="522"/>
      <c r="V16" s="327" t="str">
        <f>IF(OR(H2="PRINT",AND(H1&lt;&gt;"override",B103="")),"*     ",IF('DB'!EW4="CR","CR    ",IF('DB'!EW4="EN","EN    ",IF('DB'!EW4="VU","VU    ",IF('DB'!EW4="LR","LR    ","DD    ")))))</f>
        <v>*     </v>
      </c>
      <c r="W16" s="323"/>
      <c r="X16" s="324"/>
      <c r="Y16" s="326" t="str">
        <f>IF(OR(H2="PRINT",AND(H1&lt;&gt;"override",B103="")),"* ",'DB'!EX4)</f>
        <v>* </v>
      </c>
      <c r="Z16" s="328"/>
      <c r="AA16" s="322" t="str">
        <f>IF(OR(H2="PRINT",AND(H1&lt;&gt;"override",B103="")),"*",'DB'!EY4)</f>
        <v>*</v>
      </c>
      <c r="AB16" s="329"/>
      <c r="AC16" s="303"/>
      <c r="AD16" s="244"/>
      <c r="AE16" s="247"/>
      <c r="AF16" s="196"/>
      <c r="AG16" s="92"/>
      <c r="AH16" s="168"/>
      <c r="AI16" s="169"/>
      <c r="AJ16" s="170"/>
      <c r="AK16" s="170"/>
      <c r="AL16" s="169"/>
      <c r="AM16" s="169"/>
      <c r="AN16" s="359" t="s">
        <v>370</v>
      </c>
      <c r="AO16" s="249"/>
    </row>
    <row r="17" spans="1:41" ht="12.75" customHeight="1">
      <c r="A17" s="166"/>
      <c r="B17" s="8" t="s">
        <v>168</v>
      </c>
      <c r="C17" s="627"/>
      <c r="D17" s="628"/>
      <c r="E17" s="629"/>
      <c r="F17" s="36"/>
      <c r="G17" s="178"/>
      <c r="H17" s="92"/>
      <c r="I17" s="92"/>
      <c r="J17" s="305"/>
      <c r="K17" s="54"/>
      <c r="L17" s="244"/>
      <c r="M17" s="330"/>
      <c r="N17" s="330"/>
      <c r="O17" s="332" t="s">
        <v>136</v>
      </c>
      <c r="P17" s="455"/>
      <c r="Q17" s="332" t="s">
        <v>136</v>
      </c>
      <c r="R17" s="333"/>
      <c r="S17" s="333"/>
      <c r="T17" s="333"/>
      <c r="U17" s="332" t="s">
        <v>137</v>
      </c>
      <c r="V17" s="523"/>
      <c r="W17" s="333"/>
      <c r="X17" s="333"/>
      <c r="Y17" s="332" t="s">
        <v>136</v>
      </c>
      <c r="Z17" s="333"/>
      <c r="AA17" s="332" t="s">
        <v>136</v>
      </c>
      <c r="AB17" s="303"/>
      <c r="AC17" s="244"/>
      <c r="AD17" s="244"/>
      <c r="AE17" s="247"/>
      <c r="AF17" s="196"/>
      <c r="AG17" s="92"/>
      <c r="AH17" s="242"/>
      <c r="AI17" s="242"/>
      <c r="AJ17" s="364"/>
      <c r="AK17" s="242"/>
      <c r="AL17" s="242"/>
      <c r="AM17" s="242"/>
      <c r="AN17" s="242"/>
      <c r="AO17" s="249"/>
    </row>
    <row r="18" spans="1:41" ht="12.75" customHeight="1">
      <c r="A18" s="166"/>
      <c r="B18" s="8" t="s">
        <v>165</v>
      </c>
      <c r="C18" s="627"/>
      <c r="D18" s="628"/>
      <c r="E18" s="629"/>
      <c r="F18" s="36" t="str">
        <f t="shared" si="0"/>
        <v>*</v>
      </c>
      <c r="G18" s="178"/>
      <c r="H18" s="92"/>
      <c r="I18" s="92"/>
      <c r="J18" s="305"/>
      <c r="K18" s="54"/>
      <c r="L18" s="307"/>
      <c r="M18" s="330"/>
      <c r="N18" s="331"/>
      <c r="O18" s="332" t="s">
        <v>136</v>
      </c>
      <c r="P18" s="2"/>
      <c r="Q18" s="332" t="s">
        <v>136</v>
      </c>
      <c r="R18" s="334"/>
      <c r="S18" s="334"/>
      <c r="T18" s="333"/>
      <c r="U18" s="332" t="s">
        <v>137</v>
      </c>
      <c r="V18" s="523"/>
      <c r="W18" s="334"/>
      <c r="X18" s="334"/>
      <c r="Y18" s="332" t="s">
        <v>136</v>
      </c>
      <c r="Z18" s="334"/>
      <c r="AA18" s="332" t="s">
        <v>136</v>
      </c>
      <c r="AB18" s="245"/>
      <c r="AC18" s="303"/>
      <c r="AD18" s="244"/>
      <c r="AE18" s="247"/>
      <c r="AF18" s="196"/>
      <c r="AG18" s="92"/>
      <c r="AH18" s="242"/>
      <c r="AI18" s="242"/>
      <c r="AJ18" s="364"/>
      <c r="AK18" s="242"/>
      <c r="AL18" s="242"/>
      <c r="AM18" s="242"/>
      <c r="AN18" s="242"/>
      <c r="AO18" s="249"/>
    </row>
    <row r="19" spans="1:41" ht="12.75" customHeight="1" thickBot="1">
      <c r="A19" s="166"/>
      <c r="B19" s="24" t="s">
        <v>169</v>
      </c>
      <c r="C19" s="624"/>
      <c r="D19" s="625"/>
      <c r="E19" s="626"/>
      <c r="F19" s="36">
        <f>IF(AND(C18&lt;&gt;"",C18&lt;&gt;"National",C19=""),"*","")</f>
      </c>
      <c r="G19" s="178">
        <f>IF(AND(C18&lt;&gt;"National",C18&lt;&gt;"",C19="DD"),"Compulsory!","")</f>
      </c>
      <c r="H19" s="92"/>
      <c r="I19" s="92"/>
      <c r="J19" s="305"/>
      <c r="K19" s="335"/>
      <c r="L19" s="336"/>
      <c r="M19" s="307" t="s">
        <v>331</v>
      </c>
      <c r="N19" s="314" t="s">
        <v>132</v>
      </c>
      <c r="O19" s="337" t="str">
        <f>IF(OR(H2="PRINT",AND(H1&lt;&gt;"override",B103="")),"*",IF('DB'!FA4="DD","DD",IF('DB'!FA4=3,"CR",IF('DB'!FA4=2,"EN",IF('DB'!FA4=1,"VU","LR")))))</f>
        <v>*</v>
      </c>
      <c r="P19" s="342"/>
      <c r="Q19" s="343" t="str">
        <f>IF(OR(H2="PRINT",AND(H1&lt;&gt;"override",B103="")),"*",IF('DB'!FG4="DD","DD",IF('DB'!FG4=3,"CR",IF('DB'!FG4=2,"EN",IF('DB'!FG4=1,"VU","LR")))))</f>
        <v>*</v>
      </c>
      <c r="R19" s="343"/>
      <c r="S19" s="339"/>
      <c r="T19" s="340"/>
      <c r="U19" s="524"/>
      <c r="V19" s="341" t="str">
        <f>IF(OR(H2="PRINT",AND(H1&lt;&gt;"override",B103="")),"*       ",IF('DB'!FQ4=3,"CR      ",IF('DB'!FQ4=2,"EN      ",IF('DB'!FQ4=1,"VU      ",IF('DB'!FQ4=0,"LR      ","DD      ")))))</f>
        <v>*       </v>
      </c>
      <c r="W19" s="342"/>
      <c r="X19" s="343"/>
      <c r="Y19" s="343" t="str">
        <f>IF(OR(H2="PRINT",AND(H1&lt;&gt;"override",B103="")),"*",IF('DB'!FW4=3,"CR",IF('DB'!FW4=2,"EN",IF('DB'!FW4=1,"VU",IF('DB'!FW4=0,"LR","DD")))))</f>
        <v>*</v>
      </c>
      <c r="Z19" s="339"/>
      <c r="AA19" s="337" t="str">
        <f>AA14</f>
        <v>*</v>
      </c>
      <c r="AB19" s="344" t="s">
        <v>334</v>
      </c>
      <c r="AC19" s="244"/>
      <c r="AD19" s="244"/>
      <c r="AE19" s="258"/>
      <c r="AF19" s="196"/>
      <c r="AG19" s="92"/>
      <c r="AH19" s="242"/>
      <c r="AI19" s="242"/>
      <c r="AJ19" s="364"/>
      <c r="AK19" s="242"/>
      <c r="AL19" s="242"/>
      <c r="AM19" s="242"/>
      <c r="AN19" s="242"/>
      <c r="AO19" s="249"/>
    </row>
    <row r="20" spans="1:41" ht="12.75" customHeight="1">
      <c r="A20" s="166"/>
      <c r="B20" s="619" t="s">
        <v>275</v>
      </c>
      <c r="C20" s="620"/>
      <c r="D20" s="620"/>
      <c r="E20" s="621"/>
      <c r="F20" s="2"/>
      <c r="G20" s="178"/>
      <c r="H20" s="92"/>
      <c r="I20" s="92"/>
      <c r="J20" s="305"/>
      <c r="K20" s="335"/>
      <c r="L20" s="336"/>
      <c r="M20" s="307"/>
      <c r="N20" s="314" t="s">
        <v>133</v>
      </c>
      <c r="O20" s="345" t="str">
        <f>IF(OR(H2="PRINT",AND(H1&lt;&gt;"override",B103="")),"*",IF('DB'!GD4="DD","DD",IF('DB'!GD4=3,"CR",IF('DB'!GD4=2,"EN",IF('DB'!GD4=1,"VU","LR")))))</f>
        <v>*</v>
      </c>
      <c r="P20" s="350"/>
      <c r="Q20" s="338" t="str">
        <f>IF(OR(H2="PRINT",AND(H1&lt;&gt;"override",B103="")),"*",IF('DB'!GJ4="DD","DD",IF('DB'!GJ4=3,"CR",IF('DB'!GJ4=2,"EN",IF('DB'!GJ4=1,"VU","LR")))))</f>
        <v>*</v>
      </c>
      <c r="R20" s="338"/>
      <c r="S20" s="346"/>
      <c r="T20" s="347"/>
      <c r="U20" s="348"/>
      <c r="V20" s="349" t="str">
        <f>IF(OR(H2="PRINT",AND(H1&lt;&gt;"override",B103="")),"*       ",IF('DB'!GT4=3,"CR      ",IF('DB'!GT4=2,"EN      ",IF('DB'!GT4=1,"VU      ",IF('DB'!GT4=0,"LR      ","DD      ")))))</f>
        <v>*       </v>
      </c>
      <c r="W20" s="350"/>
      <c r="X20" s="338"/>
      <c r="Y20" s="338" t="str">
        <f>IF(OR(H2="PRINT",AND(H1&lt;&gt;"override",B103="")),"*",IF('DB'!GZ4=3,"CR",IF('DB'!GZ4=2,"EN",IF('DB'!GZ4=1,"VU",IF('DB'!GZ4=0,"LR","DD")))))</f>
        <v>*</v>
      </c>
      <c r="Z20" s="346"/>
      <c r="AA20" s="345" t="str">
        <f>AA15</f>
        <v>*</v>
      </c>
      <c r="AB20" s="344" t="s">
        <v>140</v>
      </c>
      <c r="AC20" s="244"/>
      <c r="AD20" s="244"/>
      <c r="AE20" s="258"/>
      <c r="AF20" s="196"/>
      <c r="AG20" s="358"/>
      <c r="AH20" s="242"/>
      <c r="AI20" s="242"/>
      <c r="AJ20" s="364"/>
      <c r="AK20" s="242"/>
      <c r="AL20" s="242"/>
      <c r="AM20" s="242"/>
      <c r="AN20" s="242"/>
      <c r="AO20" s="249"/>
    </row>
    <row r="21" spans="1:41" ht="12.75" customHeight="1">
      <c r="A21" s="166"/>
      <c r="B21" s="10" t="s">
        <v>147</v>
      </c>
      <c r="C21" s="578" t="s">
        <v>148</v>
      </c>
      <c r="D21" s="579" t="s">
        <v>149</v>
      </c>
      <c r="E21" s="580" t="s">
        <v>150</v>
      </c>
      <c r="F21" s="2"/>
      <c r="G21" s="178"/>
      <c r="H21" s="92"/>
      <c r="I21" s="92"/>
      <c r="J21" s="305"/>
      <c r="K21" s="335"/>
      <c r="L21" s="336"/>
      <c r="M21" s="307"/>
      <c r="N21" s="314" t="s">
        <v>134</v>
      </c>
      <c r="O21" s="351" t="str">
        <f>IF(OR(H2="PRINT",AND(H1&lt;&gt;"override",B103="")),"*",IF('DB'!HG4="DD","DD",IF('DB'!HG4=3,"CR",IF('DB'!HG4=2,"EN",IF('DB'!HG4=1,"VU","LR")))))</f>
        <v>*</v>
      </c>
      <c r="P21" s="560"/>
      <c r="Q21" s="306" t="str">
        <f>IF(OR(H2="PRINT",AND(H1&lt;&gt;"override",B103="")),"*",IF('DB'!HM4="DD","DD",IF('DB'!HM4=3,"CR",IF('DB'!HM4=2,"EN",IF('DB'!HM4=1,"VU","LR")))))</f>
        <v>*</v>
      </c>
      <c r="R21" s="306"/>
      <c r="S21" s="561"/>
      <c r="T21" s="354"/>
      <c r="U21" s="355"/>
      <c r="V21" s="356" t="str">
        <f>IF(OR(H2="PRINT",AND(H1&lt;&gt;"override",B103="")),"*       ",IF('DB'!HW4=3,"CR      ",IF('DB'!HW4=2,"EN      ",IF('DB'!HW4=1,"VU      ",IF('DB'!HW4=0,"LR      ","DD      ")))))</f>
        <v>*       </v>
      </c>
      <c r="W21" s="357"/>
      <c r="X21" s="352"/>
      <c r="Y21" s="352" t="str">
        <f>IF(OR(H2="PRINT",AND(H1&lt;&gt;"override",B103="")),"*",IF('DB'!IC4=3,"CR",IF('DB'!IC4=2,"EN",IF('DB'!IC4=1,"VU",IF('DB'!IC4=0,"LR","DD")))))</f>
        <v>*</v>
      </c>
      <c r="Z21" s="353"/>
      <c r="AA21" s="351" t="str">
        <f>AA16</f>
        <v>*</v>
      </c>
      <c r="AB21" s="344" t="s">
        <v>141</v>
      </c>
      <c r="AC21" s="244"/>
      <c r="AD21" s="244"/>
      <c r="AE21" s="258"/>
      <c r="AF21" s="196"/>
      <c r="AG21" s="358"/>
      <c r="AH21" s="242"/>
      <c r="AI21" s="242"/>
      <c r="AJ21" s="364"/>
      <c r="AK21" s="242"/>
      <c r="AL21" s="242"/>
      <c r="AM21" s="242"/>
      <c r="AN21" s="242"/>
      <c r="AO21" s="249"/>
    </row>
    <row r="22" spans="1:41" ht="12.75" customHeight="1">
      <c r="A22" s="166"/>
      <c r="B22" s="11" t="s">
        <v>276</v>
      </c>
      <c r="C22" s="12"/>
      <c r="D22" s="12"/>
      <c r="E22" s="481"/>
      <c r="F22" s="36" t="str">
        <f>IF(OR(AND(C22="DD",D22="",E22=""),AND(C22&lt;&gt;"",D22&lt;&gt;"",E22&lt;&gt;"")),"","*")</f>
        <v>*</v>
      </c>
      <c r="G22" s="178">
        <f>IF(AND(F22&lt;&gt;"*",OR(AND(C22&gt;D22,C22&lt;&gt;"DD"),AND(C22&gt;E22,C22&lt;&gt;"DD"),D22&gt;E22)),"Order!","")</f>
      </c>
      <c r="H22" s="92"/>
      <c r="I22" s="92"/>
      <c r="J22" s="185"/>
      <c r="K22" s="28"/>
      <c r="L22" s="28"/>
      <c r="M22" s="360"/>
      <c r="N22" s="361" t="s">
        <v>207</v>
      </c>
      <c r="O22" s="345" t="str">
        <f>IF(OR(H2="PRINT",AND(H1&lt;&gt;"override",B103="")),"*",IF('DB'!FB4="DD","DD",IF('DB'!FB4=3,"CR",IF('DB'!FB4=2,"EN",IF('DB'!FB4=1,"VU","LR")))))</f>
        <v>*</v>
      </c>
      <c r="P22" s="342"/>
      <c r="Q22" s="343" t="str">
        <f>IF(OR(H2="PRINT",AND(H1&lt;&gt;"override",B103="")),"*",IF('DB'!FH4="DD","DD",IF('DB'!FH4=3,"CR",IF('DB'!FH4=2,"EN",IF('DB'!FH4=1,"VU","LR")))))</f>
        <v>*</v>
      </c>
      <c r="R22" s="343"/>
      <c r="S22" s="339"/>
      <c r="T22" s="340"/>
      <c r="U22" s="362"/>
      <c r="V22" s="341" t="str">
        <f>IF(OR(H2="PRINT",AND(H1&lt;&gt;"override",B103="")),"*       ",IF('DB'!FR4=3,"CR      ",IF('DB'!FR4=2,"EN      ",IF('DB'!FR4=1,"VU      ",IF('DB'!FR4=0,"LR      ","DD      ")))))</f>
        <v>*       </v>
      </c>
      <c r="W22" s="342"/>
      <c r="X22" s="343"/>
      <c r="Y22" s="343" t="str">
        <f>IF(OR(H2="PRINT",AND(H1&lt;&gt;"override",B103="")),"*",IF('DB'!FX4=3,"CR",IF('DB'!FX4=2,"EN",IF('DB'!FX4=1,"VU",IF('DB'!FX4=0,"LR","DD")))))</f>
        <v>*</v>
      </c>
      <c r="Z22" s="339"/>
      <c r="AA22" s="566"/>
      <c r="AB22" s="344" t="s">
        <v>333</v>
      </c>
      <c r="AC22" s="244"/>
      <c r="AD22" s="363"/>
      <c r="AE22" s="363"/>
      <c r="AF22" s="196"/>
      <c r="AG22" s="358"/>
      <c r="AH22" s="242"/>
      <c r="AI22" s="242"/>
      <c r="AJ22" s="364"/>
      <c r="AK22" s="242"/>
      <c r="AL22" s="242"/>
      <c r="AM22" s="242"/>
      <c r="AN22" s="242"/>
      <c r="AO22" s="249"/>
    </row>
    <row r="23" spans="1:41" ht="12.75" customHeight="1">
      <c r="A23" s="166"/>
      <c r="B23" s="477" t="s">
        <v>283</v>
      </c>
      <c r="C23" s="611"/>
      <c r="D23" s="612"/>
      <c r="E23" s="613"/>
      <c r="F23" s="36">
        <f>IF(OR(F22="*",C22="DD",C23&lt;&gt;""),"","*")</f>
      </c>
      <c r="G23" s="178">
        <f>IF(AND(C22&lt;&gt;"DD",C23="DD"),"Compulsory!",IF(AND(C23&lt;&gt;"",C23&lt;&gt;"DD",C22="DD"),"Estimates!",""))</f>
      </c>
      <c r="H23" s="92"/>
      <c r="I23" s="92"/>
      <c r="J23" s="185"/>
      <c r="K23" s="28"/>
      <c r="L23" s="28"/>
      <c r="M23" s="360"/>
      <c r="N23" s="314" t="s">
        <v>133</v>
      </c>
      <c r="O23" s="345" t="str">
        <f>IF(OR(H2="PRINT",AND(H1&lt;&gt;"override",B103="")),"*",IF('DB'!GE4="DD","DD",IF('DB'!GE4=3,"CR",IF('DB'!GE4=2,"EN",IF('DB'!GE4=1,"VU","LR")))))</f>
        <v>*</v>
      </c>
      <c r="P23" s="350"/>
      <c r="Q23" s="338" t="str">
        <f>IF(OR(H2="PRINT",AND(H1&lt;&gt;"override",B103="")),"*",IF('DB'!GK4="DD","DD",IF('DB'!GK4=3,"CR",IF('DB'!GK4=2,"EN",IF('DB'!GK4=1,"VU","LR")))))</f>
        <v>*</v>
      </c>
      <c r="R23" s="338"/>
      <c r="S23" s="346"/>
      <c r="T23" s="347"/>
      <c r="U23" s="348"/>
      <c r="V23" s="349" t="str">
        <f>IF(OR(H2="PRINT",AND(H1&lt;&gt;"override",B103="")),"*       ",IF('DB'!GU4=3,"CR      ",IF('DB'!GU4=2,"EN      ",IF('DB'!GU4=1,"VU      ",IF('DB'!GU4=0,"LR      ","DD      ")))))</f>
        <v>*       </v>
      </c>
      <c r="W23" s="350"/>
      <c r="X23" s="338"/>
      <c r="Y23" s="338" t="str">
        <f>IF(OR(H2="PRINT",AND(H1&lt;&gt;"override",B103="")),"*",IF('DB'!HA4=3,"CR",IF('DB'!HA4=2,"EN",IF('DB'!HA4=1,"VU",IF('DB'!HA4=0,"LR","DD")))))</f>
        <v>*</v>
      </c>
      <c r="Z23" s="346"/>
      <c r="AA23" s="567" t="s">
        <v>348</v>
      </c>
      <c r="AB23" s="344" t="s">
        <v>140</v>
      </c>
      <c r="AC23" s="244"/>
      <c r="AD23" s="363"/>
      <c r="AE23" s="363"/>
      <c r="AF23" s="196"/>
      <c r="AG23" s="358"/>
      <c r="AH23" s="242"/>
      <c r="AI23" s="242"/>
      <c r="AJ23" s="242"/>
      <c r="AK23" s="242"/>
      <c r="AL23" s="242"/>
      <c r="AM23" s="242"/>
      <c r="AN23" s="242"/>
      <c r="AO23" s="249"/>
    </row>
    <row r="24" spans="1:41" ht="12.75" customHeight="1">
      <c r="A24" s="166"/>
      <c r="B24" s="15" t="s">
        <v>154</v>
      </c>
      <c r="C24" s="608"/>
      <c r="D24" s="609"/>
      <c r="E24" s="610"/>
      <c r="F24" s="36">
        <f>IF(AND(C22&lt;&gt;"",C22&lt;&gt;"DD",C24=""),"*","")</f>
      </c>
      <c r="G24" s="178">
        <f>IF(AND(C22&lt;&gt;"",C22&lt;&gt;"DD",C24="DD"),"Compulsory!","")</f>
      </c>
      <c r="H24" s="242"/>
      <c r="I24" s="242"/>
      <c r="J24" s="185"/>
      <c r="K24" s="28"/>
      <c r="L24" s="28"/>
      <c r="M24" s="360"/>
      <c r="N24" s="314" t="s">
        <v>134</v>
      </c>
      <c r="O24" s="351" t="str">
        <f>IF(OR(H2="PRINT",AND(H1&lt;&gt;"override",B103="")),"*",IF('DB'!HH4="DD","DD",IF('DB'!HH4=3,"CR",IF('DB'!HH4=2,"EN",IF('DB'!HH4=1,"VU","LR")))))</f>
        <v>*</v>
      </c>
      <c r="P24" s="357"/>
      <c r="Q24" s="352" t="str">
        <f>IF(OR(H2="PRINT",AND(H1&lt;&gt;"override",B103="")),"*",IF('DB'!HN4="DD","DD",IF('DB'!HN4=3,"CR",IF('DB'!HN4=2,"EN",IF('DB'!HN4=1,"VU","LR")))))</f>
        <v>*</v>
      </c>
      <c r="R24" s="352"/>
      <c r="S24" s="561"/>
      <c r="T24" s="354"/>
      <c r="U24" s="355"/>
      <c r="V24" s="356" t="str">
        <f>IF(OR(H2="PRINT",AND(H1&lt;&gt;"override",B103="")),"*       ",IF('DB'!HX4=3,"CR      ",IF('DB'!HX4=2,"EN      ",IF('DB'!HX4=1,"VU      ",IF('DB'!HX4=0,"LR      ","DD      ")))))</f>
        <v>*       </v>
      </c>
      <c r="W24" s="357"/>
      <c r="X24" s="352"/>
      <c r="Y24" s="352" t="str">
        <f>IF(OR(H2="PRINT",AND(H1&lt;&gt;"override",B103="")),"*",IF('DB'!ID4=3,"CR",IF('DB'!ID4=2,"EN",IF('DB'!ID4=1,"VU",IF('DB'!ID4=0,"LR","DD")))))</f>
        <v>*</v>
      </c>
      <c r="Z24" s="353"/>
      <c r="AA24" s="567"/>
      <c r="AB24" s="344" t="s">
        <v>141</v>
      </c>
      <c r="AC24" s="244"/>
      <c r="AD24" s="363"/>
      <c r="AE24" s="363"/>
      <c r="AF24" s="196"/>
      <c r="AG24" s="358"/>
      <c r="AH24" s="242"/>
      <c r="AI24" s="242"/>
      <c r="AJ24" s="242"/>
      <c r="AK24" s="242"/>
      <c r="AL24" s="242"/>
      <c r="AM24" s="242"/>
      <c r="AN24" s="242"/>
      <c r="AO24" s="249"/>
    </row>
    <row r="25" spans="1:41" ht="12.75" customHeight="1">
      <c r="A25" s="166"/>
      <c r="B25" s="11" t="s">
        <v>277</v>
      </c>
      <c r="C25" s="12"/>
      <c r="D25" s="12"/>
      <c r="E25" s="481"/>
      <c r="F25" s="36" t="str">
        <f>IF(OR(AND(C25="DD",D25="",E25=""),AND(C25&lt;&gt;"",D25&lt;&gt;"",E25&lt;&gt;"")),"","*")</f>
        <v>*</v>
      </c>
      <c r="G25" s="178">
        <f>IF(AND(F25&lt;&gt;"*",OR(AND(C25&gt;D25,C25&lt;&gt;"DD"),AND(C25&gt;E25,C25&lt;&gt;"DD"),D25&gt;E25)),"Order!","")</f>
      </c>
      <c r="H25" s="92"/>
      <c r="I25" s="92"/>
      <c r="J25" s="185"/>
      <c r="K25" s="28"/>
      <c r="L25" s="28"/>
      <c r="M25" s="360"/>
      <c r="N25" s="365" t="s">
        <v>208</v>
      </c>
      <c r="O25" s="366" t="str">
        <f>IF(OR(H2="PRINT",AND(H1&lt;&gt;"override",B103="")),"*",IF('DB'!FE4="DD","DD",IF('DB'!FE4=3,"CR",IF('DB'!FE4=2,"EN",IF('DB'!FE4=1,"VU","LR")))))</f>
        <v>*</v>
      </c>
      <c r="P25" s="350"/>
      <c r="Q25" s="338" t="str">
        <f>IF(OR(H2="PRINT",AND(H1&lt;&gt;"override",B103="")),"*",IF('DB'!FO4="DD","DD",IF('DB'!FO4=1,"VU","LR")))</f>
        <v>*</v>
      </c>
      <c r="R25" s="338"/>
      <c r="S25" s="339"/>
      <c r="T25" s="368"/>
      <c r="U25" s="525"/>
      <c r="V25" s="349" t="str">
        <f>IF(OR(H2="PRINT",AND(H1&lt;&gt;"override",B103="")),"*       ",IF('DB'!FU4=3,"CR      ",IF('DB'!FU4=2,"EN      ",IF('DB'!FU4=1,"VU      ",IF('DB'!FU4=0,"LR      ","DD      ")))))</f>
        <v>*       </v>
      </c>
      <c r="W25" s="342"/>
      <c r="X25" s="343"/>
      <c r="Y25" s="343" t="str">
        <f>IF(OR(H2="PRINT",AND(H1&lt;&gt;"override",B103="")),"*",IF('DB'!GA4=3,"CR",IF('DB'!GA4=2,"EN",IF('DB'!GA4=1,"VU",IF('DB'!GA4=0,"LR","DD")))))</f>
        <v>*</v>
      </c>
      <c r="Z25" s="339"/>
      <c r="AA25" s="567"/>
      <c r="AB25" s="344" t="s">
        <v>332</v>
      </c>
      <c r="AC25" s="244"/>
      <c r="AD25" s="363"/>
      <c r="AE25" s="369"/>
      <c r="AF25" s="196"/>
      <c r="AG25" s="358"/>
      <c r="AH25" s="242"/>
      <c r="AI25" s="242"/>
      <c r="AJ25" s="242"/>
      <c r="AK25" s="242"/>
      <c r="AL25" s="242"/>
      <c r="AM25" s="242"/>
      <c r="AN25" s="242"/>
      <c r="AO25" s="249"/>
    </row>
    <row r="26" spans="1:41" ht="12.75" customHeight="1">
      <c r="A26" s="166"/>
      <c r="B26" s="477" t="s">
        <v>283</v>
      </c>
      <c r="C26" s="611"/>
      <c r="D26" s="612"/>
      <c r="E26" s="613"/>
      <c r="F26" s="36">
        <f>IF(OR(F25="*",C25="DD",C26&lt;&gt;""),"","*")</f>
      </c>
      <c r="G26" s="178">
        <f>IF(AND(C25&lt;&gt;"DD",C26="DD"),"Compulsory!",IF(AND(C26&lt;&gt;"",C26&lt;&gt;"DD",C25="DD"),"Estimates!",""))</f>
      </c>
      <c r="H26" s="92"/>
      <c r="I26" s="92"/>
      <c r="J26" s="185"/>
      <c r="K26" s="28"/>
      <c r="L26" s="28"/>
      <c r="M26" s="360"/>
      <c r="N26" s="314" t="s">
        <v>133</v>
      </c>
      <c r="O26" s="345" t="str">
        <f>IF(OR(H2="PRINT",AND(H1&lt;&gt;"override",B103="")),"*",IF('DB'!GH4="DD","DD",IF('DB'!GH4=3,"CR",IF('DB'!GH4=2,"EN",IF('DB'!GH4=1,"VU","LR")))))</f>
        <v>*</v>
      </c>
      <c r="P26" s="350"/>
      <c r="Q26" s="338" t="str">
        <f>IF(OR(H2="PRINT",AND(H1&lt;&gt;"override",B103="")),"*",IF('DB'!GR4="DD","DD",IF('DB'!GR4=1,"VU","LR")))</f>
        <v>*</v>
      </c>
      <c r="R26" s="338"/>
      <c r="S26" s="346"/>
      <c r="T26" s="368"/>
      <c r="U26" s="525"/>
      <c r="V26" s="349" t="str">
        <f>IF(OR(H2="PRINT",AND(H1&lt;&gt;"override",B103="")),"*       ",IF('DB'!GX4=3,"CR      ",IF('DB'!GX4=2,"EN      ",IF('DB'!GX4=1,"VU      ",IF('DB'!GX4=0,"LR      ","DD      ")))))</f>
        <v>*       </v>
      </c>
      <c r="W26" s="350"/>
      <c r="X26" s="338"/>
      <c r="Y26" s="338" t="str">
        <f>IF(OR(H2="PRINT",AND(H1&lt;&gt;"override",B103="")),"*",IF('DB'!HD4=3,"CR",IF('DB'!HD4=2,"EN",IF('DB'!HD4=1,"VU",IF('DB'!HD4=0,"LR","DD")))))</f>
        <v>*</v>
      </c>
      <c r="Z26" s="346"/>
      <c r="AA26" s="567" t="s">
        <v>348</v>
      </c>
      <c r="AB26" s="344" t="s">
        <v>140</v>
      </c>
      <c r="AC26" s="244"/>
      <c r="AD26" s="363"/>
      <c r="AE26" s="363"/>
      <c r="AF26" s="196"/>
      <c r="AG26" s="358"/>
      <c r="AH26" s="242"/>
      <c r="AI26" s="242"/>
      <c r="AJ26" s="242"/>
      <c r="AK26" s="242"/>
      <c r="AL26" s="242"/>
      <c r="AM26" s="242"/>
      <c r="AN26" s="242"/>
      <c r="AO26" s="249"/>
    </row>
    <row r="27" spans="1:41" ht="12.75" customHeight="1">
      <c r="A27" s="166"/>
      <c r="B27" s="15" t="s">
        <v>154</v>
      </c>
      <c r="C27" s="608"/>
      <c r="D27" s="609"/>
      <c r="E27" s="610"/>
      <c r="F27" s="36">
        <f>IF(AND(C25&lt;&gt;"",C25&lt;&gt;"DD",C27=""),"*","")</f>
      </c>
      <c r="G27" s="178">
        <f>IF(AND(C25&lt;&gt;"",C25&lt;&gt;"DD",C27="DD"),"Compulsory!","")</f>
      </c>
      <c r="H27" s="242"/>
      <c r="I27" s="242"/>
      <c r="J27" s="185"/>
      <c r="K27" s="28"/>
      <c r="L27" s="28"/>
      <c r="M27" s="360"/>
      <c r="N27" s="314" t="s">
        <v>134</v>
      </c>
      <c r="O27" s="351" t="str">
        <f>IF(OR(H2="PRINT",AND(H1&lt;&gt;"override",B103="")),"*",IF('DB'!HK4="DD","DD",IF('DB'!HK4=3,"CR",IF('DB'!HK4=2,"EN",IF('DB'!HK4=1,"VU","LR")))))</f>
        <v>*</v>
      </c>
      <c r="P27" s="357"/>
      <c r="Q27" s="352" t="str">
        <f>IF(OR(H2="PRINT",AND(H1&lt;&gt;"override",B103="")),"*",IF('DB'!HU4="DD","DD",IF('DB'!HU4=1,"VU","LR")))</f>
        <v>*</v>
      </c>
      <c r="R27" s="352"/>
      <c r="S27" s="564"/>
      <c r="T27" s="371"/>
      <c r="U27" s="526"/>
      <c r="V27" s="356" t="str">
        <f>IF(OR(H2="PRINT",AND(H1&lt;&gt;"override",B103="")),"*       ",IF('DB'!IA4=3,"CR      ",IF('DB'!IA4=2,"EN      ",IF('DB'!IA4=1,"VU      ",IF('DB'!IA4=0,"LR      ","DD      ")))))</f>
        <v>*       </v>
      </c>
      <c r="W27" s="357"/>
      <c r="X27" s="352"/>
      <c r="Y27" s="352" t="str">
        <f>IF(OR(H2="PRINT",AND(H1&lt;&gt;"override",B103="")),"*",IF('DB'!IG4=3,"CR",IF('DB'!IG4=2,"EN",IF('DB'!IG4=1,"VU",IF('DB'!IG4=0,"LR","DD")))))</f>
        <v>*</v>
      </c>
      <c r="Z27" s="353"/>
      <c r="AA27" s="567"/>
      <c r="AB27" s="344" t="s">
        <v>141</v>
      </c>
      <c r="AC27" s="244"/>
      <c r="AD27" s="363"/>
      <c r="AE27" s="363"/>
      <c r="AF27" s="196"/>
      <c r="AG27" s="358"/>
      <c r="AH27" s="242"/>
      <c r="AI27" s="242"/>
      <c r="AJ27" s="242"/>
      <c r="AK27" s="242"/>
      <c r="AL27" s="242"/>
      <c r="AM27" s="242"/>
      <c r="AN27" s="242"/>
      <c r="AO27" s="249"/>
    </row>
    <row r="28" spans="1:41" ht="12.75" customHeight="1">
      <c r="A28" s="166"/>
      <c r="B28" s="11" t="s">
        <v>278</v>
      </c>
      <c r="C28" s="12"/>
      <c r="D28" s="12"/>
      <c r="E28" s="481"/>
      <c r="F28" s="36" t="str">
        <f>IF(OR(AND(C28="DD",D28="",E28=""),AND(C28&lt;&gt;"",D28&lt;&gt;"",E28&lt;&gt;"")),"","*")</f>
        <v>*</v>
      </c>
      <c r="G28" s="178">
        <f>IF(AND(F28&lt;&gt;"*",OR(AND(C28&gt;D28,C28&lt;&gt;"DD"),AND(C28&gt;E28,C28&lt;&gt;"DD"),D28&gt;E28)),"Order!","")</f>
      </c>
      <c r="H28" s="358"/>
      <c r="I28" s="92"/>
      <c r="J28" s="185"/>
      <c r="K28" s="28"/>
      <c r="L28" s="28"/>
      <c r="M28" s="360"/>
      <c r="N28" s="314"/>
      <c r="O28" s="306"/>
      <c r="P28" s="367"/>
      <c r="Q28" s="367"/>
      <c r="R28" s="367"/>
      <c r="S28" s="367"/>
      <c r="T28" s="367"/>
      <c r="U28" s="247"/>
      <c r="V28" s="307"/>
      <c r="W28" s="527"/>
      <c r="X28" s="247"/>
      <c r="Y28" s="367"/>
      <c r="Z28" s="367"/>
      <c r="AA28" s="367"/>
      <c r="AB28" s="370"/>
      <c r="AC28" s="244"/>
      <c r="AD28" s="363"/>
      <c r="AE28" s="363"/>
      <c r="AF28" s="196"/>
      <c r="AG28" s="358"/>
      <c r="AH28" s="242"/>
      <c r="AI28" s="242"/>
      <c r="AJ28" s="242"/>
      <c r="AK28" s="242"/>
      <c r="AL28" s="242"/>
      <c r="AM28" s="242"/>
      <c r="AN28" s="242"/>
      <c r="AO28" s="249"/>
    </row>
    <row r="29" spans="1:41" ht="12.75" customHeight="1">
      <c r="A29" s="166"/>
      <c r="B29" s="13" t="s">
        <v>283</v>
      </c>
      <c r="C29" s="611"/>
      <c r="D29" s="612"/>
      <c r="E29" s="613"/>
      <c r="F29" s="36">
        <f>IF(OR(F28="*",C28="DD",C29&lt;&gt;""),"","*")</f>
      </c>
      <c r="G29" s="178">
        <f>IF(AND(C28&lt;&gt;"DD",C29="DD"),"Compulsory!",IF(AND(C29&lt;&gt;"",C29&lt;&gt;"DD",C28="DD"),"Estimates!",""))</f>
      </c>
      <c r="H29" s="358"/>
      <c r="I29" s="92"/>
      <c r="J29" s="185"/>
      <c r="K29" s="373" t="s">
        <v>142</v>
      </c>
      <c r="L29" s="28"/>
      <c r="M29" s="360"/>
      <c r="N29" s="374"/>
      <c r="O29" s="375"/>
      <c r="P29" s="367"/>
      <c r="Q29" s="376"/>
      <c r="R29" s="194"/>
      <c r="S29" s="376"/>
      <c r="T29" s="194"/>
      <c r="U29" s="377" t="s">
        <v>328</v>
      </c>
      <c r="V29" s="376"/>
      <c r="W29" s="376"/>
      <c r="X29" s="335"/>
      <c r="Y29" s="335"/>
      <c r="Z29" s="335"/>
      <c r="AA29" s="378"/>
      <c r="AB29" s="306" t="s">
        <v>329</v>
      </c>
      <c r="AC29" s="378"/>
      <c r="AD29" s="379"/>
      <c r="AE29" s="379"/>
      <c r="AF29" s="196"/>
      <c r="AG29" s="358"/>
      <c r="AH29" s="242"/>
      <c r="AI29" s="242"/>
      <c r="AJ29" s="242"/>
      <c r="AK29" s="242"/>
      <c r="AL29" s="242"/>
      <c r="AM29" s="242"/>
      <c r="AN29" s="242"/>
      <c r="AO29" s="249"/>
    </row>
    <row r="30" spans="1:41" ht="12.75" customHeight="1">
      <c r="A30" s="166"/>
      <c r="B30" s="477" t="s">
        <v>172</v>
      </c>
      <c r="C30" s="608"/>
      <c r="D30" s="609"/>
      <c r="E30" s="610"/>
      <c r="F30" s="36">
        <f>IF(AND(C28&lt;&gt;"",C28&lt;&gt;"DD",C30=""),"*","")</f>
      </c>
      <c r="G30" s="178">
        <f>IF(AND(C30="DD",C28&lt;&gt;"",C28&lt;&gt;"DD"),"Compulsory!","")</f>
      </c>
      <c r="H30" s="358"/>
      <c r="I30" s="92"/>
      <c r="J30" s="185"/>
      <c r="K30" s="380"/>
      <c r="L30" s="28"/>
      <c r="M30" s="360"/>
      <c r="N30" s="374"/>
      <c r="O30" s="375"/>
      <c r="P30" s="367"/>
      <c r="Q30" s="376"/>
      <c r="R30" s="376"/>
      <c r="S30" s="376"/>
      <c r="T30" s="376"/>
      <c r="U30" s="335"/>
      <c r="V30" s="376"/>
      <c r="W30" s="376"/>
      <c r="X30" s="335"/>
      <c r="Y30" s="335"/>
      <c r="Z30" s="335"/>
      <c r="AA30" s="378"/>
      <c r="AB30" s="376"/>
      <c r="AC30" s="378"/>
      <c r="AD30" s="379"/>
      <c r="AE30" s="379"/>
      <c r="AF30" s="381"/>
      <c r="AG30" s="358"/>
      <c r="AH30" s="242"/>
      <c r="AI30" s="242"/>
      <c r="AJ30" s="242"/>
      <c r="AK30" s="242"/>
      <c r="AL30" s="242"/>
      <c r="AM30" s="242"/>
      <c r="AN30" s="242"/>
      <c r="AO30" s="249"/>
    </row>
    <row r="31" spans="1:41" ht="12.75" customHeight="1">
      <c r="A31" s="166"/>
      <c r="B31" s="15" t="s">
        <v>154</v>
      </c>
      <c r="C31" s="608"/>
      <c r="D31" s="609"/>
      <c r="E31" s="610"/>
      <c r="F31" s="36">
        <f>IF(AND(C28&lt;&gt;"",C28&lt;&gt;"DD",C31=""),"*","")</f>
      </c>
      <c r="G31" s="178">
        <f>IF(AND(C28&lt;&gt;"",C28&lt;&gt;"DD",C31="DD"),"Compulsory!","")</f>
      </c>
      <c r="H31" s="242"/>
      <c r="I31" s="242"/>
      <c r="J31" s="587"/>
      <c r="K31" s="382">
        <f>IF(J31="P","The 'PESSIMISTIC' assessment was made based on the following information:",IF(J31="B","The 'BEST' assessment was made based on the following information:",IF(J31="O","The 'OPTIMISTIC' assessment was made based on the following information:","")))</f>
      </c>
      <c r="L31" s="28"/>
      <c r="M31" s="28"/>
      <c r="N31" s="28"/>
      <c r="O31" s="28"/>
      <c r="P31" s="28"/>
      <c r="Q31" s="28"/>
      <c r="R31" s="28"/>
      <c r="S31" s="28"/>
      <c r="T31" s="28"/>
      <c r="U31" s="28"/>
      <c r="V31" s="28"/>
      <c r="W31" s="28"/>
      <c r="X31" s="28"/>
      <c r="Y31" s="28"/>
      <c r="Z31" s="28"/>
      <c r="AA31" s="28"/>
      <c r="AB31" s="28"/>
      <c r="AC31" s="28"/>
      <c r="AD31" s="380"/>
      <c r="AE31" s="194"/>
      <c r="AF31" s="196"/>
      <c r="AG31" s="358"/>
      <c r="AH31" s="242"/>
      <c r="AI31" s="242"/>
      <c r="AJ31" s="242"/>
      <c r="AK31" s="242"/>
      <c r="AL31" s="242"/>
      <c r="AM31" s="242"/>
      <c r="AN31" s="242"/>
      <c r="AO31" s="249"/>
    </row>
    <row r="32" spans="1:41" ht="12.75" customHeight="1">
      <c r="A32" s="166"/>
      <c r="B32" s="11" t="s">
        <v>279</v>
      </c>
      <c r="C32" s="12"/>
      <c r="D32" s="12"/>
      <c r="E32" s="481"/>
      <c r="F32" s="36" t="str">
        <f>IF(OR(AND(C32="DD",D32="",E32=""),AND(C32&lt;&gt;"",D32&lt;&gt;"",E32&lt;&gt;"")),"","*")</f>
        <v>*</v>
      </c>
      <c r="G32" s="178">
        <f>IF(AND(F32&lt;&gt;"*",OR(AND(C32&gt;D32,C32&lt;&gt;"DD"),AND(C32&gt;E32,C32&lt;&gt;"DD"),D32&gt;E32)),"Order!","")</f>
      </c>
      <c r="H32" s="92"/>
      <c r="I32" s="92"/>
      <c r="J32" s="185"/>
      <c r="K32" s="186">
        <f>IF(K31="","","Rule")</f>
      </c>
      <c r="L32" s="187">
        <f>IF(K31="","","Criterion")</f>
      </c>
      <c r="M32" s="35"/>
      <c r="N32" s="188"/>
      <c r="O32" s="189"/>
      <c r="P32" s="528" t="e">
        <f>IF(AND(#REF!&lt;&gt;"override",#REF!=""),"Data Entry Incomplete !",IF(J31="","Select desired Summary Type!",""))</f>
        <v>#REF!</v>
      </c>
      <c r="Q32" s="190"/>
      <c r="R32" s="190"/>
      <c r="S32" s="190"/>
      <c r="T32" s="190"/>
      <c r="U32" s="186"/>
      <c r="V32" s="190"/>
      <c r="W32" s="190"/>
      <c r="X32" s="190"/>
      <c r="Y32" s="186"/>
      <c r="Z32" s="190"/>
      <c r="AA32" s="191"/>
      <c r="AB32" s="192">
        <f>IF(K31="","","Data")</f>
      </c>
      <c r="AC32" s="193"/>
      <c r="AD32" s="194"/>
      <c r="AE32" s="195">
        <f>IF(K31="","","Theshold")</f>
      </c>
      <c r="AF32" s="196"/>
      <c r="AG32" s="358"/>
      <c r="AH32" s="242"/>
      <c r="AI32" s="242"/>
      <c r="AJ32" s="242"/>
      <c r="AK32" s="242"/>
      <c r="AL32" s="242"/>
      <c r="AM32" s="242"/>
      <c r="AN32" s="242"/>
      <c r="AO32" s="249"/>
    </row>
    <row r="33" spans="1:41" ht="12.75" customHeight="1">
      <c r="A33" s="166"/>
      <c r="B33" s="477" t="s">
        <v>283</v>
      </c>
      <c r="C33" s="611"/>
      <c r="D33" s="612"/>
      <c r="E33" s="613"/>
      <c r="F33" s="36">
        <f>IF(OR(F32="*",C32="DD",C33&lt;&gt;""),"","*")</f>
      </c>
      <c r="G33" s="178">
        <f>IF(AND(C32&lt;&gt;"DD",C33="DD"),"Compulsory!",IF(AND(C33&lt;&gt;"",C33&lt;&gt;"DD",C32="DD"),"Estimates!",""))</f>
      </c>
      <c r="H33" s="92"/>
      <c r="I33" s="92"/>
      <c r="J33" s="185"/>
      <c r="K33" s="171"/>
      <c r="L33" s="594"/>
      <c r="M33" s="595"/>
      <c r="N33" s="594"/>
      <c r="O33" s="596"/>
      <c r="P33" s="597"/>
      <c r="Q33" s="597"/>
      <c r="R33" s="597"/>
      <c r="S33" s="597"/>
      <c r="T33" s="597"/>
      <c r="U33" s="598"/>
      <c r="V33" s="597"/>
      <c r="W33" s="597"/>
      <c r="X33" s="597"/>
      <c r="Y33" s="597"/>
      <c r="Z33" s="597"/>
      <c r="AA33" s="599"/>
      <c r="AB33" s="600"/>
      <c r="AC33" s="174"/>
      <c r="AD33" s="172"/>
      <c r="AE33" s="173"/>
      <c r="AF33" s="167"/>
      <c r="AG33" s="358"/>
      <c r="AH33" s="242"/>
      <c r="AI33" s="242"/>
      <c r="AJ33" s="242"/>
      <c r="AK33" s="242"/>
      <c r="AL33" s="242"/>
      <c r="AM33" s="242"/>
      <c r="AN33" s="242"/>
      <c r="AO33" s="249"/>
    </row>
    <row r="34" spans="1:41" ht="12.75" customHeight="1" thickBot="1">
      <c r="A34" s="166"/>
      <c r="B34" s="20" t="s">
        <v>154</v>
      </c>
      <c r="C34" s="641"/>
      <c r="D34" s="642"/>
      <c r="E34" s="643"/>
      <c r="F34" s="36">
        <f>IF(AND(C34="",OR(AND(C22&lt;&gt;"",C22&lt;&gt;"DD"),AND(C25&lt;&gt;"",C25&lt;&gt;"DD"),AND(C28&lt;&gt;"",C28&lt;&gt;"DD"))),"*","")</f>
      </c>
      <c r="G34" s="178">
        <f>IF(AND(C34="DD",OR(AND(C22&lt;&gt;"",C22&lt;&gt;"DD"),AND(C25&lt;&gt;"",C25&lt;&gt;"DD"),AND(C28&lt;&gt;"",C28&lt;&gt;"DD"))),"Compulsory!","")</f>
      </c>
      <c r="H34" s="358"/>
      <c r="I34" s="92"/>
      <c r="J34" s="185"/>
      <c r="K34" s="175"/>
      <c r="L34" s="601"/>
      <c r="M34" s="594"/>
      <c r="N34" s="594"/>
      <c r="O34" s="596"/>
      <c r="P34" s="597"/>
      <c r="Q34" s="597"/>
      <c r="R34" s="597"/>
      <c r="S34" s="597"/>
      <c r="T34" s="597"/>
      <c r="U34" s="598"/>
      <c r="V34" s="597"/>
      <c r="W34" s="597"/>
      <c r="X34" s="597"/>
      <c r="Y34" s="597"/>
      <c r="Z34" s="597"/>
      <c r="AA34" s="599"/>
      <c r="AB34" s="600"/>
      <c r="AC34" s="174"/>
      <c r="AD34" s="172"/>
      <c r="AE34" s="173"/>
      <c r="AF34" s="167"/>
      <c r="AG34" s="358"/>
      <c r="AH34" s="242"/>
      <c r="AI34" s="242"/>
      <c r="AJ34" s="242"/>
      <c r="AK34" s="242"/>
      <c r="AL34" s="242"/>
      <c r="AM34" s="242"/>
      <c r="AN34" s="242"/>
      <c r="AO34" s="249"/>
    </row>
    <row r="35" spans="1:41" ht="12.75" customHeight="1">
      <c r="A35" s="166"/>
      <c r="B35" s="619" t="s">
        <v>280</v>
      </c>
      <c r="C35" s="631"/>
      <c r="D35" s="631"/>
      <c r="E35" s="632"/>
      <c r="F35" s="36"/>
      <c r="G35" s="178"/>
      <c r="H35" s="358"/>
      <c r="I35" s="92"/>
      <c r="J35" s="185"/>
      <c r="K35" s="171"/>
      <c r="L35" s="594"/>
      <c r="M35" s="594"/>
      <c r="N35" s="594"/>
      <c r="O35" s="596"/>
      <c r="P35" s="597"/>
      <c r="Q35" s="597"/>
      <c r="R35" s="597"/>
      <c r="S35" s="597"/>
      <c r="T35" s="597"/>
      <c r="U35" s="598"/>
      <c r="V35" s="597"/>
      <c r="W35" s="597"/>
      <c r="X35" s="597"/>
      <c r="Y35" s="597"/>
      <c r="Z35" s="597"/>
      <c r="AA35" s="602"/>
      <c r="AB35" s="600"/>
      <c r="AC35" s="174"/>
      <c r="AD35" s="172"/>
      <c r="AE35" s="173"/>
      <c r="AF35" s="167"/>
      <c r="AG35" s="358"/>
      <c r="AH35" s="242"/>
      <c r="AI35" s="242"/>
      <c r="AJ35" s="242"/>
      <c r="AK35" s="242"/>
      <c r="AL35" s="242"/>
      <c r="AM35" s="242"/>
      <c r="AN35" s="242"/>
      <c r="AO35" s="249"/>
    </row>
    <row r="36" spans="1:41" ht="12.75" customHeight="1">
      <c r="A36" s="166"/>
      <c r="B36" s="17" t="s">
        <v>285</v>
      </c>
      <c r="C36" s="578" t="s">
        <v>152</v>
      </c>
      <c r="D36" s="579" t="s">
        <v>149</v>
      </c>
      <c r="E36" s="580" t="s">
        <v>153</v>
      </c>
      <c r="F36" s="2"/>
      <c r="G36" s="178"/>
      <c r="H36" s="242"/>
      <c r="I36" s="242"/>
      <c r="J36" s="185"/>
      <c r="K36" s="171"/>
      <c r="L36" s="594"/>
      <c r="M36" s="595"/>
      <c r="N36" s="594"/>
      <c r="O36" s="596"/>
      <c r="P36" s="597"/>
      <c r="Q36" s="597"/>
      <c r="R36" s="597"/>
      <c r="S36" s="597"/>
      <c r="T36" s="597"/>
      <c r="U36" s="598"/>
      <c r="V36" s="597"/>
      <c r="W36" s="597"/>
      <c r="X36" s="597"/>
      <c r="Y36" s="603"/>
      <c r="Z36" s="597"/>
      <c r="AA36" s="599"/>
      <c r="AB36" s="600"/>
      <c r="AC36" s="604"/>
      <c r="AD36" s="172"/>
      <c r="AE36" s="173"/>
      <c r="AF36" s="167"/>
      <c r="AG36" s="358"/>
      <c r="AH36" s="242"/>
      <c r="AI36" s="242"/>
      <c r="AJ36" s="242"/>
      <c r="AK36" s="242"/>
      <c r="AL36" s="242"/>
      <c r="AM36" s="242"/>
      <c r="AN36" s="242"/>
      <c r="AO36" s="249"/>
    </row>
    <row r="37" spans="1:41" ht="12.75" customHeight="1">
      <c r="A37" s="166"/>
      <c r="B37" s="475" t="s">
        <v>287</v>
      </c>
      <c r="C37" s="12"/>
      <c r="D37" s="12"/>
      <c r="E37" s="481"/>
      <c r="F37" s="36" t="str">
        <f>IF(OR(AND(C37="DD",D37="",E37=""),AND(C37&lt;&gt;"",D37&lt;&gt;"",E37&lt;&gt;"")),"","*")</f>
        <v>*</v>
      </c>
      <c r="G37" s="178">
        <f>IF(AND(F37&lt;&gt;"*",OR(AND(C37&gt;D37,C37&lt;&gt;"DD"),AND(C37&gt;E37,C37&lt;&gt;"DD"),D37&gt;E37)),"Order!","")</f>
      </c>
      <c r="H37" s="242"/>
      <c r="I37" s="242"/>
      <c r="J37" s="185"/>
      <c r="K37" s="175"/>
      <c r="L37" s="601"/>
      <c r="M37" s="594"/>
      <c r="N37" s="594"/>
      <c r="O37" s="596"/>
      <c r="P37" s="597"/>
      <c r="Q37" s="597"/>
      <c r="R37" s="597"/>
      <c r="S37" s="597"/>
      <c r="T37" s="597"/>
      <c r="U37" s="598"/>
      <c r="V37" s="597"/>
      <c r="W37" s="597"/>
      <c r="X37" s="597"/>
      <c r="Y37" s="597"/>
      <c r="Z37" s="597"/>
      <c r="AA37" s="599"/>
      <c r="AB37" s="600"/>
      <c r="AC37" s="174"/>
      <c r="AD37" s="172"/>
      <c r="AE37" s="173"/>
      <c r="AF37" s="167"/>
      <c r="AG37" s="358"/>
      <c r="AH37" s="242"/>
      <c r="AI37" s="242"/>
      <c r="AJ37" s="242"/>
      <c r="AK37" s="242"/>
      <c r="AL37" s="242"/>
      <c r="AM37" s="242"/>
      <c r="AN37" s="242"/>
      <c r="AO37" s="249"/>
    </row>
    <row r="38" spans="1:41" ht="12.75" customHeight="1">
      <c r="A38" s="166"/>
      <c r="B38" s="19" t="s">
        <v>284</v>
      </c>
      <c r="C38" s="608"/>
      <c r="D38" s="614"/>
      <c r="E38" s="615"/>
      <c r="F38" s="36">
        <f>IF(AND(C38="",C37&lt;&gt;"",C37&lt;&gt;"DD"),"*","")</f>
      </c>
      <c r="G38" s="178">
        <f>IF(AND(C38="DD",C37&lt;&gt;"",C37&lt;&gt;"DD"),"Compulsory!","")</f>
      </c>
      <c r="H38" s="242"/>
      <c r="I38" s="242"/>
      <c r="J38" s="185"/>
      <c r="K38" s="175"/>
      <c r="L38" s="601"/>
      <c r="M38" s="594"/>
      <c r="N38" s="594"/>
      <c r="O38" s="596"/>
      <c r="P38" s="597"/>
      <c r="Q38" s="597"/>
      <c r="R38" s="597"/>
      <c r="S38" s="597"/>
      <c r="T38" s="597"/>
      <c r="U38" s="598"/>
      <c r="V38" s="597"/>
      <c r="W38" s="597"/>
      <c r="X38" s="597"/>
      <c r="Y38" s="597"/>
      <c r="Z38" s="597"/>
      <c r="AA38" s="602"/>
      <c r="AB38" s="600"/>
      <c r="AC38" s="174"/>
      <c r="AD38" s="172"/>
      <c r="AE38" s="173"/>
      <c r="AF38" s="167"/>
      <c r="AG38" s="358"/>
      <c r="AH38" s="242"/>
      <c r="AI38" s="242"/>
      <c r="AJ38" s="242"/>
      <c r="AK38" s="242"/>
      <c r="AL38" s="242"/>
      <c r="AM38" s="242"/>
      <c r="AN38" s="242"/>
      <c r="AO38" s="249"/>
    </row>
    <row r="39" spans="1:41" ht="12.75" customHeight="1">
      <c r="A39" s="166"/>
      <c r="B39" s="17" t="s">
        <v>286</v>
      </c>
      <c r="C39" s="12"/>
      <c r="D39" s="12"/>
      <c r="E39" s="481"/>
      <c r="F39" s="36" t="str">
        <f>IF(OR(AND(C39="DD",D39="",E39=""),AND(C39&lt;&gt;"",D39&lt;&gt;"",E39&lt;&gt;"")),"","*")</f>
        <v>*</v>
      </c>
      <c r="G39" s="178">
        <f>IF(AND(F39&lt;&gt;"*",OR(AND(C39&gt;D39,C39&lt;&gt;"DD"),AND(C39&gt;E39,C39&lt;&gt;"DD"),D39&gt;E39)),"Order!","")</f>
      </c>
      <c r="H39" s="242"/>
      <c r="I39" s="242"/>
      <c r="J39" s="185"/>
      <c r="K39" s="175"/>
      <c r="L39" s="601"/>
      <c r="M39" s="594"/>
      <c r="N39" s="594"/>
      <c r="O39" s="596"/>
      <c r="P39" s="597"/>
      <c r="Q39" s="597"/>
      <c r="R39" s="597"/>
      <c r="S39" s="597"/>
      <c r="T39" s="597"/>
      <c r="U39" s="598"/>
      <c r="V39" s="597"/>
      <c r="W39" s="597"/>
      <c r="X39" s="597"/>
      <c r="Y39" s="597"/>
      <c r="Z39" s="597"/>
      <c r="AA39" s="602"/>
      <c r="AB39" s="600"/>
      <c r="AC39" s="174"/>
      <c r="AD39" s="172"/>
      <c r="AE39" s="173"/>
      <c r="AF39" s="167"/>
      <c r="AG39" s="358"/>
      <c r="AH39" s="242"/>
      <c r="AI39" s="242"/>
      <c r="AJ39" s="242"/>
      <c r="AK39" s="242"/>
      <c r="AL39" s="242"/>
      <c r="AM39" s="242"/>
      <c r="AN39" s="242"/>
      <c r="AO39" s="249"/>
    </row>
    <row r="40" spans="1:41" ht="12.75" customHeight="1">
      <c r="A40" s="166"/>
      <c r="B40" s="19" t="s">
        <v>284</v>
      </c>
      <c r="C40" s="608"/>
      <c r="D40" s="609"/>
      <c r="E40" s="610"/>
      <c r="F40" s="36">
        <f>IF(AND(C40="",C39&lt;&gt;"",C39&lt;&gt;"DD"),"*","")</f>
      </c>
      <c r="G40" s="178">
        <f>IF(AND(C40="DD",C39&lt;&gt;"",C39&lt;&gt;"DD"),"Compulsory!","")</f>
      </c>
      <c r="H40" s="242"/>
      <c r="I40" s="242"/>
      <c r="J40" s="185"/>
      <c r="K40" s="171"/>
      <c r="L40" s="594"/>
      <c r="M40" s="605"/>
      <c r="N40" s="594"/>
      <c r="O40" s="596"/>
      <c r="P40" s="597"/>
      <c r="Q40" s="597"/>
      <c r="R40" s="597"/>
      <c r="S40" s="597"/>
      <c r="T40" s="597"/>
      <c r="U40" s="598"/>
      <c r="V40" s="597"/>
      <c r="W40" s="597"/>
      <c r="X40" s="597"/>
      <c r="Y40" s="597"/>
      <c r="Z40" s="597"/>
      <c r="AA40" s="602"/>
      <c r="AB40" s="600"/>
      <c r="AC40" s="174"/>
      <c r="AD40" s="172"/>
      <c r="AE40" s="173"/>
      <c r="AF40" s="167"/>
      <c r="AG40" s="358"/>
      <c r="AH40" s="242"/>
      <c r="AI40" s="242"/>
      <c r="AJ40" s="242"/>
      <c r="AK40" s="242"/>
      <c r="AL40" s="242"/>
      <c r="AM40" s="242"/>
      <c r="AN40" s="242"/>
      <c r="AO40" s="249"/>
    </row>
    <row r="41" spans="1:41" ht="12.75" customHeight="1">
      <c r="A41" s="166"/>
      <c r="B41" s="21" t="s">
        <v>299</v>
      </c>
      <c r="C41" s="581" t="s">
        <v>148</v>
      </c>
      <c r="D41" s="582" t="s">
        <v>149</v>
      </c>
      <c r="E41" s="583" t="s">
        <v>150</v>
      </c>
      <c r="F41" s="2"/>
      <c r="G41" s="178"/>
      <c r="H41" s="242"/>
      <c r="I41" s="242"/>
      <c r="J41" s="185"/>
      <c r="K41" s="175"/>
      <c r="L41" s="594"/>
      <c r="M41" s="605"/>
      <c r="N41" s="594"/>
      <c r="O41" s="596"/>
      <c r="P41" s="597"/>
      <c r="Q41" s="597"/>
      <c r="R41" s="597"/>
      <c r="S41" s="597"/>
      <c r="T41" s="597"/>
      <c r="U41" s="598"/>
      <c r="V41" s="597"/>
      <c r="W41" s="597"/>
      <c r="X41" s="597"/>
      <c r="Y41" s="597"/>
      <c r="Z41" s="597"/>
      <c r="AA41" s="602"/>
      <c r="AB41" s="600"/>
      <c r="AC41" s="174"/>
      <c r="AD41" s="172"/>
      <c r="AE41" s="173"/>
      <c r="AF41" s="167"/>
      <c r="AG41" s="358"/>
      <c r="AH41" s="242"/>
      <c r="AI41" s="242"/>
      <c r="AJ41" s="242"/>
      <c r="AK41" s="242"/>
      <c r="AL41" s="242"/>
      <c r="AM41" s="242"/>
      <c r="AN41" s="242"/>
      <c r="AO41" s="249"/>
    </row>
    <row r="42" spans="1:41" ht="12.75" customHeight="1">
      <c r="A42" s="166"/>
      <c r="B42" s="33" t="s">
        <v>170</v>
      </c>
      <c r="C42" s="18"/>
      <c r="D42" s="18"/>
      <c r="E42" s="480"/>
      <c r="F42" s="36" t="str">
        <f>IF(OR(AND(C42="DD",D42="",E42=""),AND(C42&lt;&gt;"",D42&lt;&gt;"",E42&lt;&gt;"")),"","*")</f>
        <v>*</v>
      </c>
      <c r="G42" s="178">
        <f>IF(AND(F42&lt;&gt;"*",OR(AND(C42&gt;D42,C42&lt;&gt;"DD"),AND(C42&gt;E42,C42&lt;&gt;"DD"),D42&gt;E42)),"Order!","")</f>
      </c>
      <c r="H42" s="242"/>
      <c r="I42" s="242"/>
      <c r="J42" s="185"/>
      <c r="K42" s="171"/>
      <c r="L42" s="594"/>
      <c r="M42" s="594"/>
      <c r="N42" s="594"/>
      <c r="O42" s="596"/>
      <c r="P42" s="597"/>
      <c r="Q42" s="597"/>
      <c r="R42" s="597"/>
      <c r="S42" s="597"/>
      <c r="T42" s="597"/>
      <c r="U42" s="598"/>
      <c r="V42" s="597"/>
      <c r="W42" s="597"/>
      <c r="X42" s="597"/>
      <c r="Y42" s="597"/>
      <c r="Z42" s="597"/>
      <c r="AA42" s="602"/>
      <c r="AB42" s="600"/>
      <c r="AC42" s="174"/>
      <c r="AD42" s="172"/>
      <c r="AE42" s="173"/>
      <c r="AF42" s="167"/>
      <c r="AG42" s="92"/>
      <c r="AH42" s="242"/>
      <c r="AI42" s="242"/>
      <c r="AJ42" s="242"/>
      <c r="AK42" s="242"/>
      <c r="AL42" s="242"/>
      <c r="AM42" s="242"/>
      <c r="AN42" s="242"/>
      <c r="AO42" s="249"/>
    </row>
    <row r="43" spans="1:41" ht="12.75" customHeight="1">
      <c r="A43" s="166"/>
      <c r="B43" s="13" t="s">
        <v>302</v>
      </c>
      <c r="C43" s="611"/>
      <c r="D43" s="612"/>
      <c r="E43" s="613"/>
      <c r="F43" s="482">
        <f>IF(OR(F42="*",C42="DD",C43&lt;&gt;""),"","*")</f>
      </c>
      <c r="G43" s="178"/>
      <c r="H43" s="242"/>
      <c r="I43" s="242"/>
      <c r="J43" s="185"/>
      <c r="K43" s="175"/>
      <c r="L43" s="594"/>
      <c r="M43" s="594"/>
      <c r="N43" s="594"/>
      <c r="O43" s="596"/>
      <c r="P43" s="597"/>
      <c r="Q43" s="597"/>
      <c r="R43" s="597"/>
      <c r="S43" s="597"/>
      <c r="T43" s="597"/>
      <c r="U43" s="598"/>
      <c r="V43" s="597"/>
      <c r="W43" s="597"/>
      <c r="X43" s="597"/>
      <c r="Y43" s="597"/>
      <c r="Z43" s="597"/>
      <c r="AA43" s="602"/>
      <c r="AB43" s="600"/>
      <c r="AC43" s="174"/>
      <c r="AD43" s="172"/>
      <c r="AE43" s="173"/>
      <c r="AF43" s="167"/>
      <c r="AG43" s="92"/>
      <c r="AH43" s="242"/>
      <c r="AI43" s="242"/>
      <c r="AJ43" s="242"/>
      <c r="AK43" s="242"/>
      <c r="AL43" s="242"/>
      <c r="AM43" s="242"/>
      <c r="AN43" s="242"/>
      <c r="AO43" s="249"/>
    </row>
    <row r="44" spans="1:41" ht="12.75" customHeight="1">
      <c r="A44" s="166"/>
      <c r="B44" s="13" t="s">
        <v>283</v>
      </c>
      <c r="C44" s="611"/>
      <c r="D44" s="612"/>
      <c r="E44" s="613"/>
      <c r="F44" s="36">
        <f>IF(OR(F42="*",C42="DD",C44&lt;&gt;""),"","*")</f>
      </c>
      <c r="G44" s="178">
        <f>IF(AND(C42&lt;&gt;"DD",C44="DD"),"Compulsory!",IF(AND(C44&lt;&gt;"",C44&lt;&gt;"DD",C42="DD"),"Estimates!",""))</f>
      </c>
      <c r="H44" s="242"/>
      <c r="I44" s="242"/>
      <c r="J44" s="185"/>
      <c r="K44" s="606"/>
      <c r="L44" s="594"/>
      <c r="M44" s="595"/>
      <c r="N44" s="594"/>
      <c r="O44" s="596"/>
      <c r="P44" s="597"/>
      <c r="Q44" s="597"/>
      <c r="R44" s="597"/>
      <c r="S44" s="597"/>
      <c r="T44" s="597"/>
      <c r="U44" s="598"/>
      <c r="V44" s="597"/>
      <c r="W44" s="597"/>
      <c r="X44" s="597"/>
      <c r="Y44" s="597"/>
      <c r="Z44" s="597"/>
      <c r="AA44" s="602"/>
      <c r="AB44" s="600"/>
      <c r="AC44" s="174"/>
      <c r="AD44" s="172"/>
      <c r="AE44" s="173"/>
      <c r="AF44" s="167"/>
      <c r="AG44" s="92"/>
      <c r="AH44" s="242"/>
      <c r="AI44" s="242"/>
      <c r="AJ44" s="242"/>
      <c r="AK44" s="242"/>
      <c r="AL44" s="242"/>
      <c r="AM44" s="242"/>
      <c r="AN44" s="242"/>
      <c r="AO44" s="249"/>
    </row>
    <row r="45" spans="1:41" ht="12.75" customHeight="1">
      <c r="A45" s="166"/>
      <c r="B45" s="15" t="s">
        <v>154</v>
      </c>
      <c r="C45" s="608"/>
      <c r="D45" s="609"/>
      <c r="E45" s="610"/>
      <c r="F45" s="36">
        <f>IF(AND(C42&lt;&gt;"",C42&lt;&gt;"DD",C45=""),"*","")</f>
      </c>
      <c r="G45" s="178">
        <f>IF(AND(C42&lt;&gt;"",C42&lt;&gt;"DD",C45="DD"),"Compulsory!","")</f>
      </c>
      <c r="H45" s="242"/>
      <c r="I45" s="242"/>
      <c r="J45" s="185"/>
      <c r="K45" s="175"/>
      <c r="L45" s="594"/>
      <c r="M45" s="605"/>
      <c r="N45" s="594"/>
      <c r="O45" s="596"/>
      <c r="P45" s="597"/>
      <c r="Q45" s="597"/>
      <c r="R45" s="597"/>
      <c r="S45" s="597"/>
      <c r="T45" s="597"/>
      <c r="U45" s="598"/>
      <c r="V45" s="597"/>
      <c r="W45" s="597"/>
      <c r="X45" s="597"/>
      <c r="Y45" s="597"/>
      <c r="Z45" s="597"/>
      <c r="AA45" s="602"/>
      <c r="AB45" s="600"/>
      <c r="AC45" s="174"/>
      <c r="AD45" s="172"/>
      <c r="AE45" s="173"/>
      <c r="AF45" s="167"/>
      <c r="AG45" s="92"/>
      <c r="AH45" s="242"/>
      <c r="AI45" s="242"/>
      <c r="AJ45" s="242"/>
      <c r="AK45" s="242"/>
      <c r="AL45" s="242"/>
      <c r="AM45" s="242"/>
      <c r="AN45" s="242"/>
      <c r="AO45" s="249"/>
    </row>
    <row r="46" spans="1:41" ht="12.75" customHeight="1">
      <c r="A46" s="166"/>
      <c r="B46" s="13"/>
      <c r="C46" s="581" t="s">
        <v>152</v>
      </c>
      <c r="D46" s="582" t="s">
        <v>149</v>
      </c>
      <c r="E46" s="583" t="s">
        <v>153</v>
      </c>
      <c r="F46" s="2"/>
      <c r="G46" s="178"/>
      <c r="H46" s="242"/>
      <c r="I46" s="242"/>
      <c r="J46" s="185"/>
      <c r="K46" s="606"/>
      <c r="L46" s="594"/>
      <c r="M46" s="594"/>
      <c r="N46" s="594"/>
      <c r="O46" s="596"/>
      <c r="P46" s="597"/>
      <c r="Q46" s="597"/>
      <c r="R46" s="597"/>
      <c r="S46" s="597"/>
      <c r="T46" s="597"/>
      <c r="U46" s="598"/>
      <c r="V46" s="597"/>
      <c r="W46" s="597"/>
      <c r="X46" s="597"/>
      <c r="Y46" s="597"/>
      <c r="Z46" s="597"/>
      <c r="AA46" s="602"/>
      <c r="AB46" s="600"/>
      <c r="AC46" s="174"/>
      <c r="AD46" s="172"/>
      <c r="AE46" s="173"/>
      <c r="AF46" s="167"/>
      <c r="AG46" s="92"/>
      <c r="AH46" s="242"/>
      <c r="AI46" s="242"/>
      <c r="AJ46" s="242"/>
      <c r="AK46" s="242"/>
      <c r="AL46" s="242"/>
      <c r="AM46" s="242"/>
      <c r="AN46" s="242"/>
      <c r="AO46" s="249"/>
    </row>
    <row r="47" spans="1:41" ht="12.75" customHeight="1">
      <c r="A47" s="166"/>
      <c r="B47" s="474" t="s">
        <v>281</v>
      </c>
      <c r="C47" s="12"/>
      <c r="D47" s="12"/>
      <c r="E47" s="481"/>
      <c r="F47" s="36" t="str">
        <f>IF(OR(AND(C47="DD",D47="",E47=""),AND(C47&lt;&gt;"",D47&lt;&gt;"",E47&lt;&gt;"")),"","*")</f>
        <v>*</v>
      </c>
      <c r="G47" s="178">
        <f>IF(AND(F47&lt;&gt;"*",OR(AND(C47&gt;D47,C47&lt;&gt;"DD"),AND(C47&gt;E47,C47&lt;&gt;"DD"),D47&gt;E47)),"Order!",IF(G49="Consistency!","Consistency!",""))</f>
      </c>
      <c r="H47" s="242"/>
      <c r="I47" s="242"/>
      <c r="J47" s="185"/>
      <c r="K47" s="171"/>
      <c r="L47" s="594"/>
      <c r="M47" s="595"/>
      <c r="N47" s="594"/>
      <c r="O47" s="596"/>
      <c r="P47" s="597"/>
      <c r="Q47" s="597"/>
      <c r="R47" s="597"/>
      <c r="S47" s="597"/>
      <c r="T47" s="597"/>
      <c r="U47" s="598"/>
      <c r="V47" s="597"/>
      <c r="W47" s="597"/>
      <c r="X47" s="597"/>
      <c r="Y47" s="597"/>
      <c r="Z47" s="597"/>
      <c r="AA47" s="599"/>
      <c r="AB47" s="600"/>
      <c r="AC47" s="604"/>
      <c r="AD47" s="172"/>
      <c r="AE47" s="173"/>
      <c r="AF47" s="167"/>
      <c r="AG47" s="92"/>
      <c r="AH47" s="242"/>
      <c r="AI47" s="242"/>
      <c r="AJ47" s="242"/>
      <c r="AK47" s="242"/>
      <c r="AL47" s="242"/>
      <c r="AM47" s="242"/>
      <c r="AN47" s="242"/>
      <c r="AO47" s="249"/>
    </row>
    <row r="48" spans="1:41" ht="12.75" customHeight="1">
      <c r="A48" s="166"/>
      <c r="B48" s="11" t="s">
        <v>298</v>
      </c>
      <c r="C48" s="581" t="s">
        <v>152</v>
      </c>
      <c r="D48" s="582" t="s">
        <v>149</v>
      </c>
      <c r="E48" s="583" t="s">
        <v>153</v>
      </c>
      <c r="F48" s="36"/>
      <c r="G48" s="178"/>
      <c r="H48" s="242"/>
      <c r="I48" s="242"/>
      <c r="J48" s="185"/>
      <c r="K48" s="175"/>
      <c r="L48" s="594"/>
      <c r="M48" s="594"/>
      <c r="N48" s="594"/>
      <c r="O48" s="596"/>
      <c r="P48" s="597"/>
      <c r="Q48" s="597"/>
      <c r="R48" s="597"/>
      <c r="S48" s="597"/>
      <c r="T48" s="597"/>
      <c r="U48" s="598"/>
      <c r="V48" s="597"/>
      <c r="W48" s="597"/>
      <c r="X48" s="597"/>
      <c r="Y48" s="597"/>
      <c r="Z48" s="597"/>
      <c r="AA48" s="602"/>
      <c r="AB48" s="600"/>
      <c r="AC48" s="174"/>
      <c r="AD48" s="172"/>
      <c r="AE48" s="173"/>
      <c r="AF48" s="167"/>
      <c r="AG48" s="92"/>
      <c r="AH48" s="242"/>
      <c r="AI48" s="242"/>
      <c r="AJ48" s="242"/>
      <c r="AK48" s="242"/>
      <c r="AL48" s="242"/>
      <c r="AM48" s="242"/>
      <c r="AN48" s="242"/>
      <c r="AO48" s="249"/>
    </row>
    <row r="49" spans="1:41" ht="12.75" customHeight="1">
      <c r="A49" s="166"/>
      <c r="B49" s="33" t="s">
        <v>170</v>
      </c>
      <c r="C49" s="18"/>
      <c r="D49" s="18"/>
      <c r="E49" s="480"/>
      <c r="F49" s="36" t="str">
        <f>IF(OR(AND(C49="DD",D49="",E49=""),AND(C49&lt;&gt;"",D49&lt;&gt;"",E49&lt;&gt;"")),"","*")</f>
        <v>*</v>
      </c>
      <c r="G49" s="178">
        <f>IF(AND(F49&lt;&gt;"*",OR(AND(C49&gt;D49,C49&lt;&gt;"DD"),AND(C49&gt;E49,C49&lt;&gt;"DD"),D49&gt;E49)),"Order!",IF(AND(F47="",OR(AND(C49&lt;&gt;"",OR(C49="DD",C49&lt;0.5),C47&lt;5),AND(C49&lt;&gt;"",D47&lt;&gt;"",D49&lt;0.5,D47&lt;5),AND(C49&lt;&gt;"",E47&lt;&gt;"",E49&lt;0.5,E47&lt;5))),"Consistency!",""))</f>
      </c>
      <c r="H49" s="242"/>
      <c r="I49" s="242"/>
      <c r="J49" s="185"/>
      <c r="K49" s="606"/>
      <c r="L49" s="594"/>
      <c r="M49" s="594"/>
      <c r="N49" s="594"/>
      <c r="O49" s="596"/>
      <c r="P49" s="597"/>
      <c r="Q49" s="597"/>
      <c r="R49" s="597"/>
      <c r="S49" s="597"/>
      <c r="T49" s="597"/>
      <c r="U49" s="598"/>
      <c r="V49" s="597"/>
      <c r="W49" s="597"/>
      <c r="X49" s="597"/>
      <c r="Y49" s="597"/>
      <c r="Z49" s="597"/>
      <c r="AA49" s="602"/>
      <c r="AB49" s="600"/>
      <c r="AC49" s="174"/>
      <c r="AD49" s="172"/>
      <c r="AE49" s="173"/>
      <c r="AF49" s="167"/>
      <c r="AG49" s="92"/>
      <c r="AH49" s="242"/>
      <c r="AI49" s="242"/>
      <c r="AJ49" s="242"/>
      <c r="AK49" s="242"/>
      <c r="AL49" s="242"/>
      <c r="AM49" s="242"/>
      <c r="AN49" s="242"/>
      <c r="AO49" s="249"/>
    </row>
    <row r="50" spans="1:41" ht="12.75" customHeight="1" thickBot="1">
      <c r="A50" s="166"/>
      <c r="B50" s="20" t="s">
        <v>290</v>
      </c>
      <c r="C50" s="616"/>
      <c r="D50" s="617"/>
      <c r="E50" s="618"/>
      <c r="F50" s="36">
        <f>IF(AND(C49&lt;&gt;"",C49&lt;&gt;"DD",C50=""),"*","")</f>
      </c>
      <c r="G50" s="178">
        <f>IF(AND(C49&lt;&gt;"",C49&lt;&gt;"DD",C50="DD"),"Compulsory!","")</f>
      </c>
      <c r="H50" s="242"/>
      <c r="I50" s="242"/>
      <c r="J50" s="185"/>
      <c r="K50" s="175"/>
      <c r="L50" s="594"/>
      <c r="M50" s="594"/>
      <c r="N50" s="594"/>
      <c r="O50" s="596"/>
      <c r="P50" s="597"/>
      <c r="Q50" s="597"/>
      <c r="R50" s="597"/>
      <c r="S50" s="597"/>
      <c r="T50" s="597"/>
      <c r="U50" s="598"/>
      <c r="V50" s="597"/>
      <c r="W50" s="597"/>
      <c r="X50" s="597"/>
      <c r="Y50" s="597"/>
      <c r="Z50" s="597"/>
      <c r="AA50" s="602"/>
      <c r="AB50" s="600"/>
      <c r="AC50" s="174"/>
      <c r="AD50" s="172"/>
      <c r="AE50" s="173"/>
      <c r="AF50" s="167"/>
      <c r="AG50" s="92"/>
      <c r="AH50" s="242"/>
      <c r="AI50" s="242"/>
      <c r="AJ50" s="242"/>
      <c r="AK50" s="242"/>
      <c r="AL50" s="242"/>
      <c r="AM50" s="242"/>
      <c r="AN50" s="242"/>
      <c r="AO50" s="249"/>
    </row>
    <row r="51" spans="1:41" ht="12.75" customHeight="1">
      <c r="A51" s="166"/>
      <c r="B51" s="619" t="s">
        <v>115</v>
      </c>
      <c r="C51" s="647"/>
      <c r="D51" s="647"/>
      <c r="E51" s="648"/>
      <c r="F51" s="2"/>
      <c r="G51" s="178"/>
      <c r="H51" s="242"/>
      <c r="I51" s="242"/>
      <c r="J51" s="185"/>
      <c r="K51" s="171"/>
      <c r="L51" s="594"/>
      <c r="M51" s="594"/>
      <c r="N51" s="594"/>
      <c r="O51" s="596"/>
      <c r="P51" s="597"/>
      <c r="Q51" s="597"/>
      <c r="R51" s="597"/>
      <c r="S51" s="597"/>
      <c r="T51" s="597"/>
      <c r="U51" s="598"/>
      <c r="V51" s="597"/>
      <c r="W51" s="597"/>
      <c r="X51" s="597"/>
      <c r="Y51" s="597"/>
      <c r="Z51" s="597"/>
      <c r="AA51" s="602"/>
      <c r="AB51" s="600"/>
      <c r="AC51" s="174"/>
      <c r="AD51" s="172"/>
      <c r="AE51" s="173"/>
      <c r="AF51" s="167"/>
      <c r="AG51" s="92"/>
      <c r="AH51" s="242"/>
      <c r="AI51" s="242"/>
      <c r="AJ51" s="242"/>
      <c r="AK51" s="242"/>
      <c r="AL51" s="242"/>
      <c r="AM51" s="242"/>
      <c r="AN51" s="242"/>
      <c r="AO51" s="249"/>
    </row>
    <row r="52" spans="1:41" ht="12.75" customHeight="1">
      <c r="A52" s="166"/>
      <c r="B52" s="17" t="s">
        <v>288</v>
      </c>
      <c r="C52" s="29"/>
      <c r="D52" s="29"/>
      <c r="E52" s="473"/>
      <c r="F52" s="2"/>
      <c r="G52" s="178"/>
      <c r="H52" s="242"/>
      <c r="I52" s="242"/>
      <c r="J52" s="185"/>
      <c r="K52" s="175"/>
      <c r="L52" s="594"/>
      <c r="M52" s="594"/>
      <c r="N52" s="594"/>
      <c r="O52" s="596"/>
      <c r="P52" s="597"/>
      <c r="Q52" s="597"/>
      <c r="R52" s="597"/>
      <c r="S52" s="597"/>
      <c r="T52" s="597"/>
      <c r="U52" s="598"/>
      <c r="V52" s="597"/>
      <c r="W52" s="597"/>
      <c r="X52" s="597"/>
      <c r="Y52" s="597"/>
      <c r="Z52" s="597"/>
      <c r="AA52" s="602"/>
      <c r="AB52" s="600"/>
      <c r="AC52" s="607"/>
      <c r="AD52" s="172"/>
      <c r="AE52" s="173"/>
      <c r="AF52" s="167"/>
      <c r="AG52" s="92"/>
      <c r="AH52" s="242"/>
      <c r="AI52" s="242"/>
      <c r="AJ52" s="242"/>
      <c r="AK52" s="242"/>
      <c r="AL52" s="242"/>
      <c r="AM52" s="242"/>
      <c r="AN52" s="242"/>
      <c r="AO52" s="249"/>
    </row>
    <row r="53" spans="1:41" ht="12.75" customHeight="1">
      <c r="A53" s="166"/>
      <c r="B53" s="17" t="s">
        <v>289</v>
      </c>
      <c r="C53" s="578" t="s">
        <v>148</v>
      </c>
      <c r="D53" s="579" t="s">
        <v>149</v>
      </c>
      <c r="E53" s="580" t="s">
        <v>150</v>
      </c>
      <c r="F53" s="2"/>
      <c r="G53" s="178"/>
      <c r="H53" s="242"/>
      <c r="I53" s="242"/>
      <c r="J53" s="185"/>
      <c r="K53" s="606"/>
      <c r="L53" s="594"/>
      <c r="M53" s="594"/>
      <c r="N53" s="594"/>
      <c r="O53" s="596"/>
      <c r="P53" s="597"/>
      <c r="Q53" s="597"/>
      <c r="R53" s="597"/>
      <c r="S53" s="597"/>
      <c r="T53" s="597"/>
      <c r="U53" s="598"/>
      <c r="V53" s="597"/>
      <c r="W53" s="597"/>
      <c r="X53" s="597"/>
      <c r="Y53" s="597"/>
      <c r="Z53" s="597"/>
      <c r="AA53" s="602"/>
      <c r="AB53" s="600"/>
      <c r="AC53" s="174"/>
      <c r="AD53" s="172"/>
      <c r="AE53" s="173"/>
      <c r="AF53" s="167"/>
      <c r="AG53" s="92"/>
      <c r="AH53" s="242"/>
      <c r="AI53" s="242"/>
      <c r="AJ53" s="242"/>
      <c r="AK53" s="242"/>
      <c r="AL53" s="242"/>
      <c r="AM53" s="242"/>
      <c r="AN53" s="242"/>
      <c r="AO53" s="249"/>
    </row>
    <row r="54" spans="1:41" ht="12.75" customHeight="1">
      <c r="A54" s="166"/>
      <c r="B54" s="33" t="s">
        <v>170</v>
      </c>
      <c r="C54" s="18"/>
      <c r="D54" s="18"/>
      <c r="E54" s="480"/>
      <c r="F54" s="36" t="str">
        <f>IF(OR(AND(C54="DD",D54="",E54=""),AND(C54&lt;&gt;"",D54&lt;&gt;"",E54&lt;&gt;"")),"","*")</f>
        <v>*</v>
      </c>
      <c r="G54" s="178">
        <f>IF(AND(F54&lt;&gt;"*",OR(AND(C54&gt;D54,C54&lt;&gt;"DD"),AND(C54&gt;E54,C54&lt;&gt;"DD"),D54&gt;E54)),"Order!","")</f>
      </c>
      <c r="H54" s="242"/>
      <c r="I54" s="242"/>
      <c r="J54" s="185"/>
      <c r="K54" s="175"/>
      <c r="L54" s="594"/>
      <c r="M54" s="594"/>
      <c r="N54" s="594"/>
      <c r="O54" s="596"/>
      <c r="P54" s="597"/>
      <c r="Q54" s="597"/>
      <c r="R54" s="597"/>
      <c r="S54" s="597"/>
      <c r="T54" s="597"/>
      <c r="U54" s="598"/>
      <c r="V54" s="597"/>
      <c r="W54" s="597"/>
      <c r="X54" s="597"/>
      <c r="Y54" s="597"/>
      <c r="Z54" s="597"/>
      <c r="AA54" s="602"/>
      <c r="AB54" s="600"/>
      <c r="AC54" s="174"/>
      <c r="AD54" s="172"/>
      <c r="AE54" s="173"/>
      <c r="AF54" s="167"/>
      <c r="AG54" s="92"/>
      <c r="AH54" s="242"/>
      <c r="AI54" s="242"/>
      <c r="AJ54" s="242"/>
      <c r="AK54" s="242"/>
      <c r="AL54" s="242"/>
      <c r="AM54" s="242"/>
      <c r="AN54" s="242"/>
      <c r="AO54" s="249"/>
    </row>
    <row r="55" spans="1:41" ht="12.75" customHeight="1">
      <c r="A55" s="166"/>
      <c r="B55" s="13" t="s">
        <v>283</v>
      </c>
      <c r="C55" s="611"/>
      <c r="D55" s="612"/>
      <c r="E55" s="613"/>
      <c r="F55" s="36">
        <f>IF(OR(F54="*",C54="DD",C55&lt;&gt;""),"","*")</f>
      </c>
      <c r="G55" s="178">
        <f>IF(AND(C54&lt;&gt;"DD",C55="DD"),"Compulsory!",IF(AND(C55&lt;&gt;"",C55&lt;&gt;"DD",C54="DD"),"Estimates!",""))</f>
      </c>
      <c r="H55" s="92"/>
      <c r="I55" s="92"/>
      <c r="J55" s="185"/>
      <c r="K55" s="606"/>
      <c r="L55" s="594"/>
      <c r="M55" s="594"/>
      <c r="N55" s="594"/>
      <c r="O55" s="594"/>
      <c r="P55" s="594"/>
      <c r="Q55" s="594"/>
      <c r="R55" s="594"/>
      <c r="S55" s="594"/>
      <c r="T55" s="594"/>
      <c r="U55" s="594"/>
      <c r="V55" s="594"/>
      <c r="W55" s="594"/>
      <c r="X55" s="594"/>
      <c r="Y55" s="594"/>
      <c r="Z55" s="594"/>
      <c r="AA55" s="602"/>
      <c r="AB55" s="600"/>
      <c r="AC55" s="174"/>
      <c r="AD55" s="172"/>
      <c r="AE55" s="173"/>
      <c r="AF55" s="167"/>
      <c r="AG55" s="92"/>
      <c r="AH55" s="242"/>
      <c r="AI55" s="242"/>
      <c r="AJ55" s="242"/>
      <c r="AK55" s="242"/>
      <c r="AL55" s="242"/>
      <c r="AM55" s="242"/>
      <c r="AN55" s="242"/>
      <c r="AO55" s="249"/>
    </row>
    <row r="56" spans="1:41" ht="12.75" customHeight="1">
      <c r="A56" s="166"/>
      <c r="B56" s="19" t="s">
        <v>282</v>
      </c>
      <c r="C56" s="608"/>
      <c r="D56" s="609"/>
      <c r="E56" s="610"/>
      <c r="F56" s="36">
        <f>IF(AND(C54&lt;&gt;"",C54&lt;&gt;"DD",C56=""),"*","")</f>
      </c>
      <c r="G56" s="178">
        <f>IF(AND(C54&lt;&gt;"",C54&lt;&gt;"DD",C56="DD"),"Compulsory!","")</f>
      </c>
      <c r="H56" s="242"/>
      <c r="I56" s="242"/>
      <c r="J56" s="185"/>
      <c r="K56" s="175"/>
      <c r="L56" s="594"/>
      <c r="M56" s="594"/>
      <c r="N56" s="594"/>
      <c r="O56" s="596"/>
      <c r="P56" s="597"/>
      <c r="Q56" s="597"/>
      <c r="R56" s="597"/>
      <c r="S56" s="597"/>
      <c r="T56" s="597"/>
      <c r="U56" s="598"/>
      <c r="V56" s="597"/>
      <c r="W56" s="597"/>
      <c r="X56" s="597"/>
      <c r="Y56" s="597"/>
      <c r="Z56" s="597"/>
      <c r="AA56" s="602"/>
      <c r="AB56" s="600"/>
      <c r="AC56" s="177"/>
      <c r="AD56" s="172"/>
      <c r="AE56" s="173"/>
      <c r="AF56" s="167"/>
      <c r="AG56" s="92"/>
      <c r="AH56" s="242"/>
      <c r="AI56" s="242"/>
      <c r="AJ56" s="242"/>
      <c r="AK56" s="242"/>
      <c r="AL56" s="242"/>
      <c r="AM56" s="242"/>
      <c r="AN56" s="242"/>
      <c r="AO56" s="249"/>
    </row>
    <row r="57" spans="1:41" ht="12.75" customHeight="1">
      <c r="A57" s="166"/>
      <c r="B57" s="644" t="s">
        <v>109</v>
      </c>
      <c r="C57" s="645"/>
      <c r="D57" s="645"/>
      <c r="E57" s="646"/>
      <c r="F57" s="36"/>
      <c r="G57" s="178"/>
      <c r="H57" s="242"/>
      <c r="I57" s="242"/>
      <c r="J57" s="185"/>
      <c r="K57" s="606"/>
      <c r="L57" s="594"/>
      <c r="M57" s="594"/>
      <c r="N57" s="594"/>
      <c r="O57" s="596"/>
      <c r="P57" s="597"/>
      <c r="Q57" s="597"/>
      <c r="R57" s="597"/>
      <c r="S57" s="597"/>
      <c r="T57" s="597"/>
      <c r="U57" s="598"/>
      <c r="V57" s="597"/>
      <c r="W57" s="597"/>
      <c r="X57" s="597"/>
      <c r="Y57" s="597"/>
      <c r="Z57" s="597"/>
      <c r="AA57" s="602"/>
      <c r="AB57" s="600"/>
      <c r="AC57" s="174"/>
      <c r="AD57" s="172"/>
      <c r="AE57" s="173"/>
      <c r="AF57" s="167"/>
      <c r="AG57" s="92"/>
      <c r="AH57" s="242"/>
      <c r="AI57" s="242"/>
      <c r="AJ57" s="242"/>
      <c r="AK57" s="242"/>
      <c r="AL57" s="242"/>
      <c r="AM57" s="242"/>
      <c r="AN57" s="242"/>
      <c r="AO57" s="249"/>
    </row>
    <row r="58" spans="1:41" ht="12.75" customHeight="1">
      <c r="A58" s="166"/>
      <c r="B58" s="475" t="s">
        <v>110</v>
      </c>
      <c r="C58" s="578" t="s">
        <v>148</v>
      </c>
      <c r="D58" s="579" t="s">
        <v>149</v>
      </c>
      <c r="E58" s="580" t="s">
        <v>150</v>
      </c>
      <c r="F58" s="2"/>
      <c r="G58" s="178"/>
      <c r="H58" s="242"/>
      <c r="I58" s="242"/>
      <c r="J58" s="185"/>
      <c r="K58" s="171"/>
      <c r="L58" s="594"/>
      <c r="M58" s="595"/>
      <c r="N58" s="594"/>
      <c r="O58" s="596"/>
      <c r="P58" s="597"/>
      <c r="Q58" s="597"/>
      <c r="R58" s="597"/>
      <c r="S58" s="597"/>
      <c r="T58" s="597"/>
      <c r="U58" s="598"/>
      <c r="V58" s="597"/>
      <c r="W58" s="597"/>
      <c r="X58" s="597"/>
      <c r="Y58" s="597"/>
      <c r="Z58" s="597"/>
      <c r="AA58" s="599"/>
      <c r="AB58" s="600"/>
      <c r="AC58" s="174"/>
      <c r="AD58" s="172"/>
      <c r="AE58" s="173"/>
      <c r="AF58" s="167"/>
      <c r="AG58" s="92"/>
      <c r="AH58" s="242"/>
      <c r="AI58" s="242"/>
      <c r="AJ58" s="242"/>
      <c r="AK58" s="242"/>
      <c r="AL58" s="242"/>
      <c r="AM58" s="242"/>
      <c r="AN58" s="242"/>
      <c r="AO58" s="249"/>
    </row>
    <row r="59" spans="1:41" ht="12.75" customHeight="1">
      <c r="A59" s="166"/>
      <c r="B59" s="33" t="s">
        <v>170</v>
      </c>
      <c r="C59" s="18"/>
      <c r="D59" s="18"/>
      <c r="E59" s="480"/>
      <c r="F59" s="36" t="str">
        <f>IF(OR(AND(C59="DD",D59="",E59=""),AND(C59&lt;&gt;"",D59&lt;&gt;"",E59&lt;&gt;"")),"","*")</f>
        <v>*</v>
      </c>
      <c r="G59" s="178">
        <f>IF(AND(F59&lt;&gt;"*",OR(AND(C59&gt;D59,C59&lt;&gt;"DD"),AND(C59&gt;E59,C59&lt;&gt;"DD"),D59&gt;E59)),"Order!","")</f>
      </c>
      <c r="H59" s="242"/>
      <c r="I59" s="242"/>
      <c r="J59" s="185"/>
      <c r="K59" s="175"/>
      <c r="L59" s="594"/>
      <c r="M59" s="601"/>
      <c r="N59" s="594"/>
      <c r="O59" s="596"/>
      <c r="P59" s="597"/>
      <c r="Q59" s="597"/>
      <c r="R59" s="597"/>
      <c r="S59" s="597"/>
      <c r="T59" s="597"/>
      <c r="U59" s="598"/>
      <c r="V59" s="597"/>
      <c r="W59" s="597"/>
      <c r="X59" s="597"/>
      <c r="Y59" s="597"/>
      <c r="Z59" s="597"/>
      <c r="AA59" s="602"/>
      <c r="AB59" s="600"/>
      <c r="AC59" s="174"/>
      <c r="AD59" s="172"/>
      <c r="AE59" s="173"/>
      <c r="AF59" s="167"/>
      <c r="AG59" s="92"/>
      <c r="AH59" s="242"/>
      <c r="AI59" s="242"/>
      <c r="AJ59" s="242"/>
      <c r="AK59" s="242"/>
      <c r="AL59" s="242"/>
      <c r="AM59" s="242"/>
      <c r="AN59" s="242"/>
      <c r="AO59" s="249"/>
    </row>
    <row r="60" spans="1:41" ht="12.75" customHeight="1" thickBot="1">
      <c r="A60" s="166"/>
      <c r="B60" s="20" t="s">
        <v>154</v>
      </c>
      <c r="C60" s="616"/>
      <c r="D60" s="617"/>
      <c r="E60" s="618"/>
      <c r="F60" s="36">
        <f>IF(OR(F59="*",C59="DD",C60&lt;&gt;""),"","*")</f>
      </c>
      <c r="G60" s="178">
        <f>IF(AND(C59&lt;&gt;"",C59&lt;&gt;"DD",C60="DD"),"Compulsory!","")</f>
      </c>
      <c r="H60" s="242"/>
      <c r="I60" s="242"/>
      <c r="J60" s="185"/>
      <c r="K60" s="171"/>
      <c r="L60" s="594"/>
      <c r="M60" s="594"/>
      <c r="N60" s="594"/>
      <c r="O60" s="596"/>
      <c r="P60" s="597"/>
      <c r="Q60" s="597"/>
      <c r="R60" s="597"/>
      <c r="S60" s="597"/>
      <c r="T60" s="597"/>
      <c r="U60" s="598"/>
      <c r="V60" s="597"/>
      <c r="W60" s="597"/>
      <c r="X60" s="597"/>
      <c r="Y60" s="597"/>
      <c r="Z60" s="597"/>
      <c r="AA60" s="602"/>
      <c r="AB60" s="600"/>
      <c r="AC60" s="174"/>
      <c r="AD60" s="172"/>
      <c r="AE60" s="173"/>
      <c r="AF60" s="167"/>
      <c r="AG60" s="92"/>
      <c r="AH60" s="242"/>
      <c r="AI60" s="242"/>
      <c r="AJ60" s="242"/>
      <c r="AK60" s="242"/>
      <c r="AL60" s="242"/>
      <c r="AM60" s="242"/>
      <c r="AN60" s="242"/>
      <c r="AO60" s="249"/>
    </row>
    <row r="61" spans="1:41" ht="12.75" customHeight="1">
      <c r="A61" s="166"/>
      <c r="B61" s="619" t="s">
        <v>96</v>
      </c>
      <c r="C61" s="620"/>
      <c r="D61" s="620"/>
      <c r="E61" s="621"/>
      <c r="F61" s="2"/>
      <c r="G61" s="178"/>
      <c r="H61" s="358"/>
      <c r="I61" s="372"/>
      <c r="J61" s="185"/>
      <c r="K61" s="171"/>
      <c r="L61" s="594"/>
      <c r="M61" s="595"/>
      <c r="N61" s="594"/>
      <c r="O61" s="596"/>
      <c r="P61" s="597"/>
      <c r="Q61" s="597"/>
      <c r="R61" s="597"/>
      <c r="S61" s="597"/>
      <c r="T61" s="597"/>
      <c r="U61" s="598"/>
      <c r="V61" s="597"/>
      <c r="W61" s="597"/>
      <c r="X61" s="597"/>
      <c r="Y61" s="597"/>
      <c r="Z61" s="597"/>
      <c r="AA61" s="599"/>
      <c r="AB61" s="600"/>
      <c r="AC61" s="174"/>
      <c r="AD61" s="172"/>
      <c r="AE61" s="173"/>
      <c r="AF61" s="167"/>
      <c r="AG61" s="92"/>
      <c r="AH61" s="242"/>
      <c r="AI61" s="242"/>
      <c r="AJ61" s="242"/>
      <c r="AK61" s="242"/>
      <c r="AL61" s="242"/>
      <c r="AM61" s="242"/>
      <c r="AN61" s="242"/>
      <c r="AO61" s="249"/>
    </row>
    <row r="62" spans="1:41" ht="12.75" customHeight="1">
      <c r="A62" s="166"/>
      <c r="B62" s="576" t="s">
        <v>107</v>
      </c>
      <c r="C62" s="578" t="s">
        <v>148</v>
      </c>
      <c r="D62" s="579" t="s">
        <v>149</v>
      </c>
      <c r="E62" s="580" t="s">
        <v>150</v>
      </c>
      <c r="F62" s="2"/>
      <c r="G62" s="178"/>
      <c r="H62" s="92"/>
      <c r="I62" s="92"/>
      <c r="J62" s="185"/>
      <c r="K62" s="175"/>
      <c r="L62" s="601"/>
      <c r="M62" s="594"/>
      <c r="N62" s="594"/>
      <c r="O62" s="596"/>
      <c r="P62" s="597"/>
      <c r="Q62" s="597"/>
      <c r="R62" s="597"/>
      <c r="S62" s="597"/>
      <c r="T62" s="597"/>
      <c r="U62" s="598"/>
      <c r="V62" s="597"/>
      <c r="W62" s="597"/>
      <c r="X62" s="597"/>
      <c r="Y62" s="597"/>
      <c r="Z62" s="597"/>
      <c r="AA62" s="599"/>
      <c r="AB62" s="600"/>
      <c r="AC62" s="174"/>
      <c r="AD62" s="172"/>
      <c r="AE62" s="173"/>
      <c r="AF62" s="167"/>
      <c r="AG62" s="92"/>
      <c r="AH62" s="242"/>
      <c r="AI62" s="242"/>
      <c r="AJ62" s="242"/>
      <c r="AK62" s="242"/>
      <c r="AL62" s="242"/>
      <c r="AM62" s="242"/>
      <c r="AN62" s="242"/>
      <c r="AO62" s="249"/>
    </row>
    <row r="63" spans="1:41" ht="12.75" customHeight="1">
      <c r="A63" s="166"/>
      <c r="B63" s="11" t="s">
        <v>98</v>
      </c>
      <c r="C63" s="14"/>
      <c r="D63" s="14"/>
      <c r="E63" s="476"/>
      <c r="F63" s="36" t="str">
        <f>IF(OR(AND(C63="DD",D63="",E63=""),AND(C63&lt;&gt;"",D63&lt;&gt;"",E63&lt;&gt;"")),"","*")</f>
        <v>*</v>
      </c>
      <c r="G63" s="178">
        <f>IF(AND(F63&lt;&gt;"*",OR(AND(C63&gt;D63,C63&lt;&gt;"DD"),AND(C63&gt;E63,C63&lt;&gt;"DD"),D63&gt;E63)),"Order!","")</f>
      </c>
      <c r="H63" s="92"/>
      <c r="I63" s="92"/>
      <c r="J63" s="185"/>
      <c r="K63" s="175"/>
      <c r="L63" s="601"/>
      <c r="M63" s="594"/>
      <c r="N63" s="594"/>
      <c r="O63" s="596"/>
      <c r="P63" s="597"/>
      <c r="Q63" s="597"/>
      <c r="R63" s="597"/>
      <c r="S63" s="597"/>
      <c r="T63" s="597"/>
      <c r="U63" s="598"/>
      <c r="V63" s="597"/>
      <c r="W63" s="597"/>
      <c r="X63" s="597"/>
      <c r="Y63" s="597"/>
      <c r="Z63" s="597"/>
      <c r="AA63" s="599"/>
      <c r="AB63" s="600"/>
      <c r="AC63" s="174"/>
      <c r="AD63" s="172"/>
      <c r="AE63" s="173"/>
      <c r="AF63" s="167"/>
      <c r="AG63" s="242"/>
      <c r="AH63" s="242"/>
      <c r="AI63" s="242"/>
      <c r="AJ63" s="242"/>
      <c r="AK63" s="242"/>
      <c r="AL63" s="242"/>
      <c r="AM63" s="242"/>
      <c r="AN63" s="242"/>
      <c r="AO63" s="249"/>
    </row>
    <row r="64" spans="1:41" ht="12.75" customHeight="1">
      <c r="A64" s="166"/>
      <c r="B64" s="11" t="s">
        <v>111</v>
      </c>
      <c r="C64" s="14"/>
      <c r="D64" s="12"/>
      <c r="E64" s="481"/>
      <c r="F64" s="36" t="str">
        <f>IF(OR(AND(C64="DD",D64="",E64=""),AND(C64&lt;&gt;"",D64&lt;&gt;"",E64&lt;&gt;"")),"","*")</f>
        <v>*</v>
      </c>
      <c r="G64" s="178">
        <f>IF(AND(F64&lt;&gt;"*",OR(AND(C64&gt;D64,C64&lt;&gt;"DD"),AND(C64&gt;E64,C64&lt;&gt;"DD"),D64&gt;E64)),"Order!","")</f>
      </c>
      <c r="H64" s="92"/>
      <c r="I64" s="92"/>
      <c r="J64" s="185"/>
      <c r="K64" s="171"/>
      <c r="L64" s="594"/>
      <c r="M64" s="601"/>
      <c r="N64" s="594"/>
      <c r="O64" s="596"/>
      <c r="P64" s="597"/>
      <c r="Q64" s="597"/>
      <c r="R64" s="597"/>
      <c r="S64" s="597"/>
      <c r="T64" s="597"/>
      <c r="U64" s="598"/>
      <c r="V64" s="597"/>
      <c r="W64" s="597"/>
      <c r="X64" s="597"/>
      <c r="Y64" s="597"/>
      <c r="Z64" s="597"/>
      <c r="AA64" s="599"/>
      <c r="AB64" s="600"/>
      <c r="AC64" s="174"/>
      <c r="AD64" s="172"/>
      <c r="AE64" s="173"/>
      <c r="AF64" s="167"/>
      <c r="AG64" s="242"/>
      <c r="AH64" s="242"/>
      <c r="AI64" s="242"/>
      <c r="AJ64" s="242"/>
      <c r="AK64" s="242"/>
      <c r="AL64" s="242"/>
      <c r="AM64" s="242"/>
      <c r="AN64" s="242"/>
      <c r="AO64" s="249"/>
    </row>
    <row r="65" spans="1:41" ht="12.75" customHeight="1" thickBot="1">
      <c r="A65" s="166"/>
      <c r="B65" s="477" t="s">
        <v>283</v>
      </c>
      <c r="C65" s="611"/>
      <c r="D65" s="612"/>
      <c r="E65" s="613"/>
      <c r="F65" s="36">
        <f>IF(OR(F63="*",F64="*",AND(C63="DD",C64="DD"),C65&lt;&gt;""),"","*")</f>
      </c>
      <c r="G65" s="178">
        <f>IF(AND(OR(C64&lt;&gt;"DD",C63&lt;&gt;"DD"),C65="DD"),"Compulsory!",IF(AND(C65&lt;&gt;"",C65&lt;&gt;"DD",C63="DD",C64="DD"),"Estimates!",""))</f>
      </c>
      <c r="H65" s="92"/>
      <c r="I65" s="92"/>
      <c r="J65" s="383"/>
      <c r="K65" s="170"/>
      <c r="L65" s="170"/>
      <c r="M65" s="170"/>
      <c r="N65" s="170"/>
      <c r="O65" s="170"/>
      <c r="P65" s="170"/>
      <c r="Q65" s="170"/>
      <c r="R65" s="170"/>
      <c r="S65" s="170"/>
      <c r="T65" s="170"/>
      <c r="U65" s="170"/>
      <c r="V65" s="170"/>
      <c r="W65" s="170"/>
      <c r="X65" s="170"/>
      <c r="Y65" s="170"/>
      <c r="Z65" s="170"/>
      <c r="AA65" s="170"/>
      <c r="AB65" s="170"/>
      <c r="AC65" s="170"/>
      <c r="AD65" s="170"/>
      <c r="AE65" s="170"/>
      <c r="AF65" s="384"/>
      <c r="AG65" s="242"/>
      <c r="AH65" s="242"/>
      <c r="AI65" s="242"/>
      <c r="AJ65" s="242"/>
      <c r="AK65" s="242"/>
      <c r="AL65" s="242"/>
      <c r="AM65" s="242"/>
      <c r="AN65" s="242"/>
      <c r="AO65" s="249"/>
    </row>
    <row r="66" spans="1:41" ht="12.75" customHeight="1">
      <c r="A66" s="166"/>
      <c r="B66" s="15" t="s">
        <v>296</v>
      </c>
      <c r="C66" s="608"/>
      <c r="D66" s="609"/>
      <c r="E66" s="610"/>
      <c r="F66" s="36">
        <f>IF(OR(F63="*",F64="*",AND(C63="DD",C64="DD"),C66&lt;&gt;""),"","*")</f>
      </c>
      <c r="G66" s="178">
        <f>IF(AND(C64&lt;&gt;"",C64&lt;&gt;"DD",C66="DD"),"Compulsory!","")</f>
      </c>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9"/>
    </row>
    <row r="67" spans="1:41" ht="12.75" customHeight="1">
      <c r="A67" s="166"/>
      <c r="B67" s="11" t="s">
        <v>97</v>
      </c>
      <c r="C67" s="14"/>
      <c r="D67" s="14"/>
      <c r="E67" s="476"/>
      <c r="F67" s="36" t="str">
        <f>IF(OR(AND(C67="DD",D67="",E67=""),AND(C67&lt;&gt;"",D67&lt;&gt;"",E67&lt;&gt;"")),"","*")</f>
        <v>*</v>
      </c>
      <c r="G67" s="178">
        <f>IF(AND(F67&lt;&gt;"*",OR(AND(C67&gt;D67,C67&lt;&gt;"DD"),AND(C67&gt;E67,C67&lt;&gt;"DD"),D67&gt;E67)),"Order!","")</f>
      </c>
      <c r="H67" s="92"/>
      <c r="I67" s="9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9"/>
    </row>
    <row r="68" spans="1:41" ht="12.75" customHeight="1">
      <c r="A68" s="166"/>
      <c r="B68" s="11" t="s">
        <v>112</v>
      </c>
      <c r="C68" s="14"/>
      <c r="D68" s="12"/>
      <c r="E68" s="481"/>
      <c r="F68" s="36" t="str">
        <f>IF(OR(AND(C68="DD",D68="",E68=""),AND(C68&lt;&gt;"",D68&lt;&gt;"",E68&lt;&gt;"")),"","*")</f>
        <v>*</v>
      </c>
      <c r="G68" s="178">
        <f>IF(AND(F68&lt;&gt;"*",OR(AND(C68&gt;D68,C68&lt;&gt;"DD"),AND(C68&gt;E68,C68&lt;&gt;"DD"),D68&gt;E68)),"Order!","")</f>
      </c>
      <c r="H68" s="92"/>
      <c r="I68" s="9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c r="AN68" s="242"/>
      <c r="AO68" s="249"/>
    </row>
    <row r="69" spans="1:41" ht="12.75" customHeight="1">
      <c r="A69" s="166"/>
      <c r="B69" s="477" t="s">
        <v>283</v>
      </c>
      <c r="C69" s="611"/>
      <c r="D69" s="612"/>
      <c r="E69" s="613"/>
      <c r="F69" s="36">
        <f>IF(OR(F67="*",F68="*",AND(C67="DD",C68="DD"),C69&lt;&gt;""),"","*")</f>
      </c>
      <c r="G69" s="178">
        <f>IF(AND(OR(C68&lt;&gt;"DD",C67&lt;&gt;"DD"),C69="DD"),"Compulsory!",IF(AND(C69&lt;&gt;"",C69&lt;&gt;"DD",C67="DD",C68="DD"),"Estimates!",""))</f>
      </c>
      <c r="H69" s="358"/>
      <c r="I69" s="9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242"/>
      <c r="AM69" s="242"/>
      <c r="AN69" s="242"/>
      <c r="AO69" s="249"/>
    </row>
    <row r="70" spans="1:41" ht="12.75" customHeight="1">
      <c r="A70" s="166"/>
      <c r="B70" s="15" t="s">
        <v>296</v>
      </c>
      <c r="C70" s="608"/>
      <c r="D70" s="609"/>
      <c r="E70" s="610"/>
      <c r="F70" s="36">
        <f>IF(OR(F67="*",F68="*",AND(C67="DD",C68="DD"),C70&lt;&gt;""),"","*")</f>
      </c>
      <c r="G70" s="178">
        <f>IF(AND(C68&lt;&gt;"",C68&lt;&gt;"DD",C70="DD"),"Compulsory!","")</f>
      </c>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9"/>
    </row>
    <row r="71" spans="1:41" ht="12.75" customHeight="1">
      <c r="A71" s="166"/>
      <c r="B71" s="11" t="s">
        <v>100</v>
      </c>
      <c r="C71" s="14"/>
      <c r="D71" s="14"/>
      <c r="E71" s="476"/>
      <c r="F71" s="36" t="str">
        <f>IF(OR(AND(C71="DD",D71="",E71=""),AND(C71&lt;&gt;"",D71&lt;&gt;"",E71&lt;&gt;"")),"","*")</f>
        <v>*</v>
      </c>
      <c r="G71" s="178">
        <f>IF(AND(F71&lt;&gt;"*",OR(AND(C71&gt;D71,C71&lt;&gt;"DD"),AND(C71&gt;E71,C71&lt;&gt;"DD"),D71&gt;E71)),"Order!","")</f>
      </c>
      <c r="H71" s="358"/>
      <c r="I71" s="9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9"/>
    </row>
    <row r="72" spans="1:41" ht="12.75" customHeight="1">
      <c r="A72" s="166"/>
      <c r="B72" s="11" t="s">
        <v>113</v>
      </c>
      <c r="C72" s="14"/>
      <c r="D72" s="12"/>
      <c r="E72" s="481"/>
      <c r="F72" s="36" t="str">
        <f>IF(OR(AND(C72="DD",D72="",E72=""),AND(C72&lt;&gt;"",D72&lt;&gt;"",E72&lt;&gt;"")),"","*")</f>
        <v>*</v>
      </c>
      <c r="G72" s="178">
        <f>IF(AND(F72&lt;&gt;"*",OR(AND(C72&gt;D72,C72&lt;&gt;"DD"),AND(C72&gt;E72,C72&lt;&gt;"DD"),D72&gt;E72)),"Order!","")</f>
      </c>
      <c r="H72" s="92"/>
      <c r="I72" s="9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9"/>
    </row>
    <row r="73" spans="1:41" ht="12.75" customHeight="1">
      <c r="A73" s="166"/>
      <c r="B73" s="477" t="s">
        <v>283</v>
      </c>
      <c r="C73" s="611"/>
      <c r="D73" s="612"/>
      <c r="E73" s="613"/>
      <c r="F73" s="36">
        <f>IF(OR(F71="*",F72="*",AND(C71="DD",C72="DD"),C73&lt;&gt;""),"","*")</f>
      </c>
      <c r="G73" s="178">
        <f>IF(AND(OR(C72&lt;&gt;"DD",C71&lt;&gt;"DD"),C73="DD"),"Compulsory!",IF(AND(C73&lt;&gt;"",C73&lt;&gt;"DD",C71="DD",C72="DD"),"Estimates!",""))</f>
      </c>
      <c r="H73" s="358"/>
      <c r="I73" s="9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9"/>
    </row>
    <row r="74" spans="1:41" ht="12.75" customHeight="1">
      <c r="A74" s="166"/>
      <c r="B74" s="477" t="s">
        <v>101</v>
      </c>
      <c r="C74" s="608"/>
      <c r="D74" s="609"/>
      <c r="E74" s="610"/>
      <c r="F74" s="36">
        <f>IF(OR(F71="*",F72="*",AND(C71="DD",C72="DD"),C74&lt;&gt;""),"","*")</f>
      </c>
      <c r="G74" s="178">
        <f>IF(AND(C74="DD",C71&lt;&gt;"",C71&lt;&gt;"DD"),"Compulsory!","")</f>
      </c>
      <c r="H74" s="358"/>
      <c r="I74" s="9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9"/>
    </row>
    <row r="75" spans="1:41" ht="12.75" customHeight="1">
      <c r="A75" s="166"/>
      <c r="B75" s="15" t="s">
        <v>296</v>
      </c>
      <c r="C75" s="608"/>
      <c r="D75" s="609"/>
      <c r="E75" s="610"/>
      <c r="F75" s="36">
        <f>IF(OR(F71="*",F72="*",AND(C71="DD",C72="DD"),C75&lt;&gt;""),"","*")</f>
      </c>
      <c r="G75" s="178">
        <f>IF(AND(C73&lt;&gt;"",C73&lt;&gt;"DD",C75="DD"),"Compulsory!","")</f>
      </c>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9"/>
    </row>
    <row r="76" spans="1:41" ht="12.75" customHeight="1">
      <c r="A76" s="166"/>
      <c r="B76" s="11" t="s">
        <v>99</v>
      </c>
      <c r="C76" s="14"/>
      <c r="D76" s="14"/>
      <c r="E76" s="476"/>
      <c r="F76" s="36" t="str">
        <f>IF(OR(AND(C76="DD",D76="",E76=""),AND(C76&lt;&gt;"",D76&lt;&gt;"",E76&lt;&gt;"")),"","*")</f>
        <v>*</v>
      </c>
      <c r="G76" s="178">
        <f>IF(AND(F76&lt;&gt;"*",OR(AND(C76&gt;D76,C76&lt;&gt;"DD"),AND(C76&gt;E76,C76&lt;&gt;"DD"),D76&gt;E76)),"Order!","")</f>
      </c>
      <c r="H76" s="92"/>
      <c r="I76" s="9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9"/>
    </row>
    <row r="77" spans="1:41" ht="12.75" customHeight="1">
      <c r="A77" s="166"/>
      <c r="B77" s="11" t="s">
        <v>114</v>
      </c>
      <c r="C77" s="14"/>
      <c r="D77" s="14"/>
      <c r="E77" s="476"/>
      <c r="F77" s="36" t="str">
        <f>IF(OR(AND(C77="DD",D77="",E77=""),AND(C77&lt;&gt;"",D77&lt;&gt;"",E77&lt;&gt;"")),"","*")</f>
        <v>*</v>
      </c>
      <c r="G77" s="178">
        <f>IF(AND(F77&lt;&gt;"*",OR(AND(C77&gt;D77,C77&lt;&gt;"DD"),AND(C77&gt;E77,C77&lt;&gt;"DD"),D77&gt;E77)),"Order!","")</f>
      </c>
      <c r="H77" s="92"/>
      <c r="I77" s="9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N77" s="242"/>
      <c r="AO77" s="249"/>
    </row>
    <row r="78" spans="1:41" ht="12.75" customHeight="1">
      <c r="A78" s="166"/>
      <c r="B78" s="477" t="s">
        <v>283</v>
      </c>
      <c r="C78" s="611"/>
      <c r="D78" s="612"/>
      <c r="E78" s="613"/>
      <c r="F78" s="36">
        <f>IF(OR(F76="*",F77="*",AND(C76="DD",C77="DD"),C78&lt;&gt;""),"","*")</f>
      </c>
      <c r="G78" s="178">
        <f>IF(AND(OR(C77&lt;&gt;"DD",C76&lt;&gt;"DD"),C78="DD"),"Compulsory!",IF(AND(C78&lt;&gt;"",C78&lt;&gt;"DD",C76="DD",C77="DD"),"Estimates!",""))</f>
      </c>
      <c r="H78" s="92"/>
      <c r="I78" s="9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c r="AK78" s="242"/>
      <c r="AL78" s="242"/>
      <c r="AM78" s="242"/>
      <c r="AN78" s="242"/>
      <c r="AO78" s="249"/>
    </row>
    <row r="79" spans="1:41" ht="12.75" customHeight="1" thickBot="1">
      <c r="A79" s="166"/>
      <c r="B79" s="15" t="s">
        <v>296</v>
      </c>
      <c r="C79" s="616"/>
      <c r="D79" s="617"/>
      <c r="E79" s="618"/>
      <c r="F79" s="36">
        <f>IF(OR(F76="*",F77="*",AND(C76="DD",C77="DD"),C79&lt;&gt;""),"","*")</f>
      </c>
      <c r="G79" s="178">
        <f>IF(AND(C79="DD",OR(AND(C63&lt;&gt;"",C63&lt;&gt;"DD"),AND(C67&lt;&gt;"",C67&lt;&gt;"DD"),AND(C71&lt;&gt;"",C71&lt;&gt;"DD"))),"Compulsory!","")</f>
      </c>
      <c r="H79" s="358"/>
      <c r="I79" s="9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9"/>
    </row>
    <row r="80" spans="1:41" ht="12.75" customHeight="1">
      <c r="A80" s="166"/>
      <c r="B80" s="619" t="s">
        <v>102</v>
      </c>
      <c r="C80" s="620"/>
      <c r="D80" s="620"/>
      <c r="E80" s="621"/>
      <c r="F80" s="2"/>
      <c r="G80" s="178"/>
      <c r="H80" s="358"/>
      <c r="I80" s="37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242"/>
      <c r="AM80" s="242"/>
      <c r="AN80" s="242"/>
      <c r="AO80" s="249"/>
    </row>
    <row r="81" spans="1:41" ht="12.75" customHeight="1">
      <c r="A81" s="166"/>
      <c r="B81" s="576" t="s">
        <v>108</v>
      </c>
      <c r="C81" s="578" t="s">
        <v>148</v>
      </c>
      <c r="D81" s="579" t="s">
        <v>149</v>
      </c>
      <c r="E81" s="580" t="s">
        <v>150</v>
      </c>
      <c r="F81" s="2"/>
      <c r="G81" s="178"/>
      <c r="H81" s="92"/>
      <c r="I81" s="9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9"/>
    </row>
    <row r="82" spans="1:41" ht="12.75" customHeight="1">
      <c r="A82" s="166"/>
      <c r="B82" s="11" t="s">
        <v>103</v>
      </c>
      <c r="C82" s="14"/>
      <c r="D82" s="14"/>
      <c r="E82" s="476"/>
      <c r="F82" s="36" t="str">
        <f>IF(OR(AND(C82="DD",D82="",E82=""),AND(C82&lt;&gt;"",D82&lt;&gt;"",E82&lt;&gt;"")),"","*")</f>
        <v>*</v>
      </c>
      <c r="G82" s="178">
        <f>IF(AND(F82&lt;&gt;"*",OR(AND(C82&gt;D82,C82&lt;&gt;"DD"),AND(C82&gt;E82,C82&lt;&gt;"DD"),D82&gt;E82)),"Order!","")</f>
      </c>
      <c r="H82" s="92"/>
      <c r="I82" s="9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2"/>
      <c r="AL82" s="242"/>
      <c r="AM82" s="242"/>
      <c r="AN82" s="242"/>
      <c r="AO82" s="249"/>
    </row>
    <row r="83" spans="1:41" ht="12.75" customHeight="1">
      <c r="A83" s="166"/>
      <c r="B83" s="11" t="s">
        <v>291</v>
      </c>
      <c r="C83" s="14"/>
      <c r="D83" s="14"/>
      <c r="E83" s="476"/>
      <c r="F83" s="36" t="str">
        <f>IF(OR(AND(C83="DD",D83="",E83=""),AND(C83&lt;&gt;"",D83&lt;&gt;"",E83&lt;&gt;"")),"","*")</f>
        <v>*</v>
      </c>
      <c r="G83" s="178">
        <f>IF(AND(F83&lt;&gt;"*",OR(AND(C83&gt;D83,C83&lt;&gt;"DD"),AND(C83&gt;E83,C83&lt;&gt;"DD"),D83&gt;E83)),"Order!","")</f>
      </c>
      <c r="H83" s="92"/>
      <c r="I83" s="92"/>
      <c r="J83" s="242"/>
      <c r="K83" s="242"/>
      <c r="L83" s="242"/>
      <c r="M83" s="242"/>
      <c r="N83" s="242"/>
      <c r="O83" s="242"/>
      <c r="P83" s="242"/>
      <c r="Q83" s="242"/>
      <c r="R83" s="242"/>
      <c r="S83" s="242"/>
      <c r="T83" s="242"/>
      <c r="U83" s="242"/>
      <c r="V83" s="242"/>
      <c r="W83" s="242"/>
      <c r="X83" s="242"/>
      <c r="Y83" s="242"/>
      <c r="Z83" s="242"/>
      <c r="AA83" s="242"/>
      <c r="AB83" s="242"/>
      <c r="AC83" s="242"/>
      <c r="AD83" s="242"/>
      <c r="AE83" s="242"/>
      <c r="AF83" s="242"/>
      <c r="AG83" s="242"/>
      <c r="AH83" s="242"/>
      <c r="AI83" s="242"/>
      <c r="AJ83" s="242"/>
      <c r="AK83" s="242"/>
      <c r="AL83" s="242"/>
      <c r="AM83" s="242"/>
      <c r="AN83" s="242"/>
      <c r="AO83" s="249"/>
    </row>
    <row r="84" spans="1:41" ht="12.75" customHeight="1">
      <c r="A84" s="166"/>
      <c r="B84" s="477" t="s">
        <v>283</v>
      </c>
      <c r="C84" s="611"/>
      <c r="D84" s="612"/>
      <c r="E84" s="613"/>
      <c r="F84" s="36">
        <f>IF(OR(F82="*",F83="*",AND(C82="DD",C83="DD"),C84&lt;&gt;""),"","*")</f>
      </c>
      <c r="G84" s="178">
        <f>IF(AND(OR(C83&lt;&gt;"DD",C82&lt;&gt;"DD"),C84="DD"),"Compulsory!",IF(AND(C84&lt;&gt;"",C84&lt;&gt;"DD",C82="DD",C83="DD"),"Estimates!",""))</f>
      </c>
      <c r="H84" s="92"/>
      <c r="I84" s="92"/>
      <c r="J84" s="242"/>
      <c r="K84" s="242"/>
      <c r="L84" s="242"/>
      <c r="M84" s="242"/>
      <c r="N84" s="242"/>
      <c r="O84" s="242"/>
      <c r="P84" s="242"/>
      <c r="Q84" s="242"/>
      <c r="R84" s="242"/>
      <c r="S84" s="242"/>
      <c r="T84" s="242"/>
      <c r="U84" s="242"/>
      <c r="V84" s="242"/>
      <c r="W84" s="242"/>
      <c r="X84" s="242"/>
      <c r="Y84" s="242"/>
      <c r="Z84" s="242"/>
      <c r="AA84" s="242"/>
      <c r="AB84" s="242"/>
      <c r="AC84" s="242"/>
      <c r="AD84" s="242"/>
      <c r="AE84" s="242"/>
      <c r="AF84" s="242"/>
      <c r="AG84" s="242"/>
      <c r="AH84" s="242"/>
      <c r="AI84" s="242"/>
      <c r="AJ84" s="242"/>
      <c r="AK84" s="242"/>
      <c r="AL84" s="242"/>
      <c r="AM84" s="242"/>
      <c r="AN84" s="242"/>
      <c r="AO84" s="249"/>
    </row>
    <row r="85" spans="1:41" ht="12.75" customHeight="1">
      <c r="A85" s="166"/>
      <c r="B85" s="15" t="s">
        <v>295</v>
      </c>
      <c r="C85" s="608"/>
      <c r="D85" s="609"/>
      <c r="E85" s="610"/>
      <c r="F85" s="36">
        <f>IF(OR(F82="*",F83="*",AND(C82="DD",C83="DD"),C85&lt;&gt;""),"","*")</f>
      </c>
      <c r="G85" s="178">
        <f>IF(AND(C83&lt;&gt;"",C83&lt;&gt;"DD",C85="DD"),"Compulsory!","")</f>
      </c>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9"/>
    </row>
    <row r="86" spans="1:41" ht="12.75">
      <c r="A86" s="166"/>
      <c r="B86" s="11" t="s">
        <v>104</v>
      </c>
      <c r="C86" s="14"/>
      <c r="D86" s="14"/>
      <c r="E86" s="476"/>
      <c r="F86" s="36" t="str">
        <f>IF(OR(AND(C86="DD",D86="",E86=""),AND(C86&lt;&gt;"",D86&lt;&gt;"",E86&lt;&gt;"")),"","*")</f>
        <v>*</v>
      </c>
      <c r="G86" s="178">
        <f>IF(AND(F86&lt;&gt;"*",OR(AND(C86&gt;D86,C86&lt;&gt;"DD"),AND(C86&gt;E86,C86&lt;&gt;"DD"),D86&gt;E86)),"Order!","")</f>
      </c>
      <c r="H86" s="92"/>
      <c r="I86" s="9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242"/>
      <c r="AM86" s="242"/>
      <c r="AN86" s="242"/>
      <c r="AO86" s="249"/>
    </row>
    <row r="87" spans="1:41" ht="12.75">
      <c r="A87" s="166"/>
      <c r="B87" s="11" t="s">
        <v>292</v>
      </c>
      <c r="C87" s="14"/>
      <c r="D87" s="14"/>
      <c r="E87" s="476"/>
      <c r="F87" s="36" t="str">
        <f>IF(OR(AND(C87="DD",D87="",E87=""),AND(C87&lt;&gt;"",D87&lt;&gt;"",E87&lt;&gt;"")),"","*")</f>
        <v>*</v>
      </c>
      <c r="G87" s="178">
        <f>IF(AND(F87&lt;&gt;"*",OR(AND(C87&gt;D87,C87&lt;&gt;"DD"),AND(C87&gt;E87,C87&lt;&gt;"DD"),D87&gt;E87)),"Order!","")</f>
      </c>
      <c r="H87" s="92"/>
      <c r="I87" s="9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242"/>
      <c r="AM87" s="242"/>
      <c r="AN87" s="242"/>
      <c r="AO87" s="249"/>
    </row>
    <row r="88" spans="1:41" ht="12.75">
      <c r="A88" s="166"/>
      <c r="B88" s="477" t="s">
        <v>283</v>
      </c>
      <c r="C88" s="611"/>
      <c r="D88" s="612"/>
      <c r="E88" s="613"/>
      <c r="F88" s="36">
        <f>IF(OR(F86="*",F87="*",AND(C86="DD",C87="DD"),C88&lt;&gt;""),"","*")</f>
      </c>
      <c r="G88" s="178">
        <f>IF(AND(OR(C87&lt;&gt;"DD",C86&lt;&gt;"DD"),C88="DD"),"Compulsory!",IF(AND(C88&lt;&gt;"",C88&lt;&gt;"DD",C86="DD",C87="DD"),"Estimates!",""))</f>
      </c>
      <c r="H88" s="358"/>
      <c r="I88" s="9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c r="AJ88" s="242"/>
      <c r="AK88" s="242"/>
      <c r="AL88" s="242"/>
      <c r="AM88" s="242"/>
      <c r="AN88" s="242"/>
      <c r="AO88" s="249"/>
    </row>
    <row r="89" spans="1:41" ht="12.75">
      <c r="A89" s="166"/>
      <c r="B89" s="15" t="s">
        <v>295</v>
      </c>
      <c r="C89" s="608"/>
      <c r="D89" s="609"/>
      <c r="E89" s="610"/>
      <c r="F89" s="36">
        <f>IF(OR(F86="*",F87="*",AND(C86="DD",C87="DD"),C89&lt;&gt;""),"","*")</f>
      </c>
      <c r="G89" s="178">
        <f>IF(AND(C87&lt;&gt;"",C87&lt;&gt;"DD",C89="DD"),"Compulsory!","")</f>
      </c>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9"/>
    </row>
    <row r="90" spans="1:41" ht="12.75">
      <c r="A90" s="166"/>
      <c r="B90" s="11" t="s">
        <v>105</v>
      </c>
      <c r="C90" s="14"/>
      <c r="D90" s="14"/>
      <c r="E90" s="476"/>
      <c r="F90" s="36" t="str">
        <f>IF(OR(AND(C90="DD",D90="",E90=""),AND(C90&lt;&gt;"",D90&lt;&gt;"",E90&lt;&gt;"")),"","*")</f>
        <v>*</v>
      </c>
      <c r="G90" s="178">
        <f>IF(AND(F90&lt;&gt;"*",OR(AND(C90&gt;D90,C90&lt;&gt;"DD"),AND(C90&gt;E90,C90&lt;&gt;"DD"),D90&gt;E90)),"Order!","")</f>
      </c>
      <c r="H90" s="358"/>
      <c r="I90" s="92"/>
      <c r="J90" s="242"/>
      <c r="K90" s="242"/>
      <c r="L90" s="242"/>
      <c r="M90" s="242"/>
      <c r="N90" s="242"/>
      <c r="O90" s="242"/>
      <c r="P90" s="242"/>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9"/>
    </row>
    <row r="91" spans="1:41" ht="12.75">
      <c r="A91" s="166"/>
      <c r="B91" s="11" t="s">
        <v>293</v>
      </c>
      <c r="C91" s="14"/>
      <c r="D91" s="14"/>
      <c r="E91" s="476"/>
      <c r="F91" s="36" t="str">
        <f>IF(OR(AND(C91="DD",D91="",E91=""),AND(C91&lt;&gt;"",D91&lt;&gt;"",E91&lt;&gt;"")),"","*")</f>
        <v>*</v>
      </c>
      <c r="G91" s="178">
        <f>IF(AND(F91&lt;&gt;"*",OR(AND(C91&gt;D91,C91&lt;&gt;"DD"),AND(C91&gt;E91,C91&lt;&gt;"DD"),D91&gt;E91)),"Order!","")</f>
      </c>
      <c r="H91" s="92"/>
      <c r="I91" s="92"/>
      <c r="J91" s="242"/>
      <c r="K91" s="242"/>
      <c r="L91" s="242"/>
      <c r="M91" s="242"/>
      <c r="N91" s="242"/>
      <c r="O91" s="242"/>
      <c r="P91" s="242"/>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9"/>
    </row>
    <row r="92" spans="1:41" ht="12.75">
      <c r="A92" s="166"/>
      <c r="B92" s="477" t="s">
        <v>283</v>
      </c>
      <c r="C92" s="611"/>
      <c r="D92" s="612"/>
      <c r="E92" s="613"/>
      <c r="F92" s="36">
        <f>IF(OR(F90="*",F91="*",AND(C90="DD",C91="DD"),C92&lt;&gt;""),"","*")</f>
      </c>
      <c r="G92" s="178">
        <f>IF(AND(OR(C91&lt;&gt;"DD",C90&lt;&gt;"DD"),C92="DD"),"Compulsory!",IF(AND(C92&lt;&gt;"",C92&lt;&gt;"DD",C90="DD",C91="DD"),"Estimates!",""))</f>
      </c>
      <c r="H92" s="358"/>
      <c r="I92" s="92"/>
      <c r="J92" s="242"/>
      <c r="K92" s="242"/>
      <c r="L92" s="242"/>
      <c r="M92" s="242"/>
      <c r="N92" s="242"/>
      <c r="O92" s="242"/>
      <c r="P92" s="242"/>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9"/>
    </row>
    <row r="93" spans="1:41" ht="12.75">
      <c r="A93" s="166"/>
      <c r="B93" s="477" t="s">
        <v>101</v>
      </c>
      <c r="C93" s="608"/>
      <c r="D93" s="609"/>
      <c r="E93" s="610"/>
      <c r="F93" s="36">
        <f>IF(OR(F90="*",F91="*",AND(C90="DD",C91="DD"),C93&lt;&gt;""),"","*")</f>
      </c>
      <c r="G93" s="178">
        <f>IF(AND(C93="DD",C90&lt;&gt;"",C90&lt;&gt;"DD"),"Compulsory!","")</f>
      </c>
      <c r="H93" s="358"/>
      <c r="I93" s="9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9"/>
    </row>
    <row r="94" spans="1:41" ht="12.75">
      <c r="A94" s="166"/>
      <c r="B94" s="15" t="s">
        <v>295</v>
      </c>
      <c r="C94" s="608"/>
      <c r="D94" s="609"/>
      <c r="E94" s="610"/>
      <c r="F94" s="36">
        <f>IF(OR(F90="*",F91="*",AND(C90="DD",C91="DD"),C94&lt;&gt;""),"","*")</f>
      </c>
      <c r="G94" s="178">
        <f>IF(AND(C92&lt;&gt;"",C92&lt;&gt;"DD",C94="DD"),"Compulsory!","")</f>
      </c>
      <c r="H94" s="242"/>
      <c r="I94" s="242"/>
      <c r="J94" s="242"/>
      <c r="K94" s="242"/>
      <c r="L94" s="242"/>
      <c r="M94" s="242"/>
      <c r="N94" s="242"/>
      <c r="O94" s="242"/>
      <c r="P94" s="242"/>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9"/>
    </row>
    <row r="95" spans="1:41" ht="12.75">
      <c r="A95" s="166"/>
      <c r="B95" s="11" t="s">
        <v>106</v>
      </c>
      <c r="C95" s="14"/>
      <c r="D95" s="14"/>
      <c r="E95" s="476"/>
      <c r="F95" s="36" t="str">
        <f>IF(OR(AND(C95="DD",D95="",E95=""),AND(C95&lt;&gt;"",D95&lt;&gt;"",E95&lt;&gt;"")),"","*")</f>
        <v>*</v>
      </c>
      <c r="G95" s="178">
        <f>IF(AND(F95&lt;&gt;"*",OR(AND(C95&gt;D95,C95&lt;&gt;"DD"),AND(C95&gt;E95,C95&lt;&gt;"DD"),D95&gt;E95)),"Order!","")</f>
      </c>
      <c r="H95" s="92"/>
      <c r="I95" s="92"/>
      <c r="J95" s="242"/>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9"/>
    </row>
    <row r="96" spans="1:41" ht="12.75">
      <c r="A96" s="166"/>
      <c r="B96" s="11" t="s">
        <v>294</v>
      </c>
      <c r="C96" s="14"/>
      <c r="D96" s="14"/>
      <c r="E96" s="476"/>
      <c r="F96" s="36" t="str">
        <f>IF(OR(AND(C96="DD",D96="",E96=""),AND(C96&lt;&gt;"",D96&lt;&gt;"",E96&lt;&gt;"")),"","*")</f>
        <v>*</v>
      </c>
      <c r="G96" s="178">
        <f>IF(AND(F96&lt;&gt;"*",OR(AND(C96&gt;D96,C96&lt;&gt;"DD"),AND(C96&gt;E96,C96&lt;&gt;"DD"),D96&gt;E96)),"Order!","")</f>
      </c>
      <c r="H96" s="92"/>
      <c r="I96" s="9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9"/>
    </row>
    <row r="97" spans="1:41" ht="12.75">
      <c r="A97" s="166"/>
      <c r="B97" s="477" t="s">
        <v>283</v>
      </c>
      <c r="C97" s="611"/>
      <c r="D97" s="612"/>
      <c r="E97" s="613"/>
      <c r="F97" s="36">
        <f>IF(OR(F95="*",F96="*",AND(C95="DD",C96="DD"),C97&lt;&gt;""),"","*")</f>
      </c>
      <c r="G97" s="178">
        <f>IF(AND(OR(C96&lt;&gt;"DD",C95&lt;&gt;"DD"),C97="DD"),"Compulsory!",IF(AND(C97&lt;&gt;"",C97&lt;&gt;"DD",C95="DD",C96="DD"),"Estimates!",""))</f>
      </c>
      <c r="H97" s="92"/>
      <c r="I97" s="92"/>
      <c r="J97" s="242"/>
      <c r="K97" s="242"/>
      <c r="L97" s="242"/>
      <c r="M97" s="242"/>
      <c r="N97" s="242"/>
      <c r="O97" s="242"/>
      <c r="P97" s="242"/>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9"/>
    </row>
    <row r="98" spans="1:41" ht="13.5" thickBot="1">
      <c r="A98" s="166"/>
      <c r="B98" s="477" t="s">
        <v>295</v>
      </c>
      <c r="C98" s="616"/>
      <c r="D98" s="617"/>
      <c r="E98" s="618"/>
      <c r="F98" s="36">
        <f>IF(OR(F95="*",F96="*",AND(C95="DD",C96="DD"),C98&lt;&gt;""),"","*")</f>
      </c>
      <c r="G98" s="178">
        <f>IF(AND(C98="DD",OR(AND(C82&lt;&gt;"",C82&lt;&gt;"DD"),AND(C86&lt;&gt;"",C86&lt;&gt;"DD"),AND(C90&lt;&gt;"",C90&lt;&gt;"DD"))),"Compulsory!","")</f>
      </c>
      <c r="H98" s="358"/>
      <c r="I98" s="92"/>
      <c r="J98" s="242"/>
      <c r="K98" s="242"/>
      <c r="L98" s="242"/>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9"/>
    </row>
    <row r="99" spans="1:41" ht="12.75">
      <c r="A99" s="166"/>
      <c r="B99" s="9" t="s">
        <v>93</v>
      </c>
      <c r="C99" s="584" t="s">
        <v>148</v>
      </c>
      <c r="D99" s="585" t="s">
        <v>149</v>
      </c>
      <c r="E99" s="586" t="s">
        <v>150</v>
      </c>
      <c r="F99" s="2"/>
      <c r="G99" s="178"/>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9"/>
    </row>
    <row r="100" spans="1:41" ht="12.75">
      <c r="A100" s="166"/>
      <c r="B100" s="11" t="s">
        <v>94</v>
      </c>
      <c r="C100" s="14"/>
      <c r="D100" s="14"/>
      <c r="E100" s="476"/>
      <c r="F100" s="36" t="str">
        <f>IF(OR(AND(C100="DD",D100="",E100=""),AND(C100&lt;&gt;"",D100&lt;&gt;"",E100&lt;&gt;"")),"","*")</f>
        <v>*</v>
      </c>
      <c r="G100" s="178">
        <f>IF(AND(F100&lt;&gt;"*",OR(AND(C100&gt;D100,C100&lt;&gt;"DD"),AND(C100&gt;E100,C100&lt;&gt;"DD"),D100&gt;E100)),"Order!","")</f>
      </c>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9"/>
    </row>
    <row r="101" spans="1:41" ht="12.75">
      <c r="A101" s="166"/>
      <c r="B101" s="11" t="s">
        <v>95</v>
      </c>
      <c r="C101" s="14"/>
      <c r="D101" s="14"/>
      <c r="E101" s="476"/>
      <c r="F101" s="36" t="str">
        <f>IF(OR(AND(C101="DD",D101="",E101=""),AND(C101&lt;&gt;"",D101&lt;&gt;"",E101&lt;&gt;"")),"","*")</f>
        <v>*</v>
      </c>
      <c r="G101" s="178">
        <f>IF(AND(F101&lt;&gt;"*",OR(AND(C101&gt;D101,C101&lt;&gt;"DD"),AND(C101&gt;E101,C101&lt;&gt;"DD"),D101&gt;E101)),"Order!","")</f>
      </c>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9"/>
    </row>
    <row r="102" spans="1:41" ht="13.5" thickBot="1">
      <c r="A102" s="166"/>
      <c r="B102" s="20" t="s">
        <v>151</v>
      </c>
      <c r="C102" s="616"/>
      <c r="D102" s="622"/>
      <c r="E102" s="623"/>
      <c r="F102" s="36">
        <f>IF(AND(C100&lt;&gt;"",C100&lt;&gt;"DD",C102=""),"*","")</f>
      </c>
      <c r="G102" s="178">
        <f>IF(AND(C100&lt;&gt;"",C100&lt;&gt;"DD",C102="DD"),"Compulsory!","")</f>
      </c>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9"/>
    </row>
    <row r="103" spans="1:41" ht="12.75">
      <c r="A103" s="166"/>
      <c r="B103" s="37">
        <f>IF(B104="","Data entry is complete! See ASSESSMENT RESULTS!","")</f>
      </c>
      <c r="C103" s="28"/>
      <c r="D103" s="28"/>
      <c r="E103" s="28"/>
      <c r="F103" s="2"/>
      <c r="G103" s="167"/>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9"/>
    </row>
    <row r="104" spans="1:41" ht="12.75">
      <c r="A104" s="38"/>
      <c r="B104" s="38" t="str">
        <f>IF(OR(B105&lt;&gt;"",B106&lt;&gt;"",B107&lt;&gt;"",B108&lt;&gt;"",B109&lt;&gt;""),"DATA ENTRY INCOMPLETE !! (see explanation below)","")</f>
        <v>DATA ENTRY INCOMPLETE !! (see explanation below)</v>
      </c>
      <c r="C104" s="28"/>
      <c r="D104" s="28"/>
      <c r="E104" s="28"/>
      <c r="F104" s="2"/>
      <c r="G104" s="167"/>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9"/>
    </row>
    <row r="105" spans="1:41" ht="12.75">
      <c r="A105" s="39"/>
      <c r="B105" s="39" t="str">
        <f>IF(OR(A5=".",B5=".",A6="."),"Answer (or enter 'DD' for) all questions on rows marked on the right hand side with an asterisk ' * '","")</f>
        <v>Answer (or enter 'DD' for) all questions on rows marked on the right hand side with an asterisk ' * '</v>
      </c>
      <c r="C105" s="28"/>
      <c r="D105" s="28"/>
      <c r="E105" s="28"/>
      <c r="F105" s="2"/>
      <c r="G105" s="167"/>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9"/>
    </row>
    <row r="106" spans="1:41" ht="12.75">
      <c r="A106" s="382"/>
      <c r="B106" s="256">
        <f>IF(OR(G22="Order!",G25="Order!",G28="Order!",G32="Order!",G37="Order!",G39="Order!",G42="Order!",G47="Order!",G49="Order!",G54="Order!",G59="Order!",G63="Order!",G64="Order!",G67="Order!",G68="Order!",G71="Order!",G72="Order!",G76="Order!",G77="Order!",G82="Order!",G83="Order!",G86="Order!",G87="Order!",G90="Order!",G91="Order!",G95="Order!",G96="Order!",G100="Order!",G101="Order!"),"Order!  Please ensure the Lower Bound &lt; or = Best Estimate &lt; or = Upper Bound on the rows indicated","")</f>
      </c>
      <c r="C106" s="28"/>
      <c r="D106" s="28"/>
      <c r="E106" s="28"/>
      <c r="F106" s="2"/>
      <c r="G106" s="167"/>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9"/>
    </row>
    <row r="107" spans="1:41" ht="12.75">
      <c r="A107" s="256"/>
      <c r="B107" s="479">
        <f>IF(OR(A7=".",A8="."),"Compulsory!  Questions on the rows indicated cannot be answered 'DD'","")</f>
      </c>
      <c r="C107" s="28"/>
      <c r="D107" s="28"/>
      <c r="E107" s="28"/>
      <c r="F107" s="2"/>
      <c r="G107" s="167"/>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9"/>
    </row>
    <row r="108" spans="1:41" ht="12.75">
      <c r="A108" s="479"/>
      <c r="B108" s="373">
        <f>IF(OR(G23="Estimates!",G26="Estimates!",G29="Estimates!",G33="Estimates!",G44="Estimates!",G55="Estimates!",G65="Estimates!",G69="Estimates!",G73="Estimates!",G78="Estimates!",G84="Estimates!",G88="Estimates!",G92="Estimates!",G97="Estimates!"),"Estimates!  Enter quantitative estimates where indicated or change 'basis' to 'DD'","")</f>
      </c>
      <c r="C108" s="28"/>
      <c r="D108" s="28"/>
      <c r="E108" s="28"/>
      <c r="F108" s="2"/>
      <c r="G108" s="167"/>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c r="AK108" s="242"/>
      <c r="AL108" s="242"/>
      <c r="AM108" s="242"/>
      <c r="AN108" s="242"/>
      <c r="AO108" s="249"/>
    </row>
    <row r="109" spans="1:41" ht="12.75">
      <c r="A109" s="479"/>
      <c r="B109" s="377">
        <f>IF(OR(G47="Consistency!",G49="Consistency!"),"Consistency!  Please ensure your answers on the rows indicated are consistent","")</f>
      </c>
      <c r="C109" s="28"/>
      <c r="D109" s="28"/>
      <c r="E109" s="28"/>
      <c r="F109" s="2"/>
      <c r="G109" s="167"/>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9"/>
    </row>
    <row r="110" spans="1:41" ht="13.5" thickBot="1">
      <c r="A110" s="168"/>
      <c r="B110" s="179"/>
      <c r="C110" s="170"/>
      <c r="D110" s="170"/>
      <c r="E110" s="170"/>
      <c r="F110" s="169"/>
      <c r="G110" s="180"/>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242"/>
      <c r="AL110" s="242"/>
      <c r="AM110" s="242"/>
      <c r="AN110" s="242"/>
      <c r="AO110" s="249"/>
    </row>
    <row r="111" spans="1:41" ht="12.75">
      <c r="A111" s="568"/>
      <c r="B111" s="242"/>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2"/>
      <c r="AL111" s="242"/>
      <c r="AM111" s="242"/>
      <c r="AN111" s="242"/>
      <c r="AO111" s="249"/>
    </row>
    <row r="112" spans="1:41" ht="12.75">
      <c r="A112" s="568"/>
      <c r="B112" s="242"/>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9"/>
    </row>
    <row r="113" spans="1:41" ht="12.75">
      <c r="A113" s="568"/>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2"/>
      <c r="AO113" s="249"/>
    </row>
    <row r="114" spans="1:41" ht="12.75">
      <c r="A114" s="568"/>
      <c r="B114" s="242"/>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9"/>
    </row>
    <row r="115" spans="1:41" ht="13.5" thickBot="1">
      <c r="A115" s="569"/>
      <c r="B115" s="385"/>
      <c r="C115" s="385"/>
      <c r="D115" s="385"/>
      <c r="E115" s="385"/>
      <c r="F115" s="385"/>
      <c r="G115" s="385"/>
      <c r="H115" s="385"/>
      <c r="I115" s="385"/>
      <c r="J115" s="385"/>
      <c r="K115" s="385"/>
      <c r="L115" s="385"/>
      <c r="M115" s="385"/>
      <c r="N115" s="385"/>
      <c r="O115" s="385"/>
      <c r="P115" s="385"/>
      <c r="Q115" s="385"/>
      <c r="R115" s="385"/>
      <c r="S115" s="385"/>
      <c r="T115" s="385"/>
      <c r="U115" s="385"/>
      <c r="V115" s="385"/>
      <c r="W115" s="385"/>
      <c r="X115" s="385"/>
      <c r="Y115" s="385"/>
      <c r="Z115" s="385"/>
      <c r="AA115" s="385"/>
      <c r="AB115" s="385"/>
      <c r="AC115" s="385"/>
      <c r="AD115" s="385"/>
      <c r="AE115" s="385"/>
      <c r="AF115" s="385"/>
      <c r="AG115" s="385"/>
      <c r="AH115" s="385"/>
      <c r="AI115" s="385"/>
      <c r="AJ115" s="385"/>
      <c r="AK115" s="385"/>
      <c r="AL115" s="385"/>
      <c r="AM115" s="385"/>
      <c r="AN115" s="385"/>
      <c r="AO115" s="386"/>
    </row>
  </sheetData>
  <sheetProtection sheet="1" objects="1" scenarios="1"/>
  <mergeCells count="53">
    <mergeCell ref="C31:E31"/>
    <mergeCell ref="C29:E29"/>
    <mergeCell ref="C34:E34"/>
    <mergeCell ref="C70:E70"/>
    <mergeCell ref="C33:E33"/>
    <mergeCell ref="B57:E57"/>
    <mergeCell ref="C50:E50"/>
    <mergeCell ref="B51:E51"/>
    <mergeCell ref="C45:E45"/>
    <mergeCell ref="B35:E35"/>
    <mergeCell ref="C19:E19"/>
    <mergeCell ref="C18:E18"/>
    <mergeCell ref="B9:E9"/>
    <mergeCell ref="C10:E10"/>
    <mergeCell ref="C15:E15"/>
    <mergeCell ref="C16:E16"/>
    <mergeCell ref="C17:E17"/>
    <mergeCell ref="D11:E12"/>
    <mergeCell ref="C13:D13"/>
    <mergeCell ref="C14:E14"/>
    <mergeCell ref="B20:E20"/>
    <mergeCell ref="C23:E23"/>
    <mergeCell ref="C26:E26"/>
    <mergeCell ref="C30:E30"/>
    <mergeCell ref="C24:E24"/>
    <mergeCell ref="C27:E27"/>
    <mergeCell ref="C102:E102"/>
    <mergeCell ref="C73:E73"/>
    <mergeCell ref="C74:E74"/>
    <mergeCell ref="C78:E78"/>
    <mergeCell ref="C79:E79"/>
    <mergeCell ref="C92:E92"/>
    <mergeCell ref="C93:E93"/>
    <mergeCell ref="C97:E97"/>
    <mergeCell ref="C75:E75"/>
    <mergeCell ref="C85:E85"/>
    <mergeCell ref="C98:E98"/>
    <mergeCell ref="C55:E55"/>
    <mergeCell ref="C65:E65"/>
    <mergeCell ref="B80:E80"/>
    <mergeCell ref="C84:E84"/>
    <mergeCell ref="C88:E88"/>
    <mergeCell ref="C56:E56"/>
    <mergeCell ref="C60:E60"/>
    <mergeCell ref="C69:E69"/>
    <mergeCell ref="B61:E61"/>
    <mergeCell ref="C66:E66"/>
    <mergeCell ref="C43:E43"/>
    <mergeCell ref="C38:E38"/>
    <mergeCell ref="C94:E94"/>
    <mergeCell ref="C44:E44"/>
    <mergeCell ref="C40:E40"/>
    <mergeCell ref="C89:E89"/>
  </mergeCells>
  <dataValidations count="14">
    <dataValidation type="list" allowBlank="1" showInputMessage="1" showErrorMessage="1" error="Please select an appropriate entry from the dropdown menu by clicking on the arrow on the right hand side of the cell" sqref="C55:E55 C44:E44">
      <formula1>ContDeclineThreatProcess</formula1>
    </dataValidation>
    <dataValidation type="list" allowBlank="1" showInputMessage="1" showErrorMessage="1" error="Please select an appropriate entry from the dropdown menu by clicking on the arrow on the right hand side of the cell" sqref="C18:E18">
      <formula1>AssessmentRange</formula1>
    </dataValidation>
    <dataValidation type="list" allowBlank="1" showInputMessage="1" showErrorMessage="1" error="Please select an appropriate entry from the dropdown menu by clicking on the arrow on the right hand side of the cell" sqref="C97:E97 C84:E84 C78:E78 C65:E65 C33:E33 C23:E23">
      <formula1>PastEstimates</formula1>
    </dataValidation>
    <dataValidation type="list" allowBlank="1" showInputMessage="1" showErrorMessage="1" error="Please select an appropriate entry from the dropdown menu by clicking on the arrow on the right hand side of the cell" sqref="C92:E92 C88:E88 C73:E73 C69:E69 C29:E29 C26:E26">
      <formula1>FutureEstimates</formula1>
    </dataValidation>
    <dataValidation type="list" allowBlank="1" showInputMessage="1" showErrorMessage="1" error="Please select an appropriate entry from the dropdown menu by clicking on the arrow on the right hand side of the cell" sqref="C43:E43">
      <formula1>measuredecl</formula1>
    </dataValidation>
    <dataValidation type="list" allowBlank="1" showInputMessage="1" showErrorMessage="1" error="Please select an appropriate entry from the dropdown menu by clicking on the arrow on the right hand side of the cell" sqref="C42">
      <formula1>belieflower</formula1>
    </dataValidation>
    <dataValidation type="list" allowBlank="1" showInputMessage="1" showErrorMessage="1" sqref="C49 C54 C59">
      <formula1>belieflower</formula1>
    </dataValidation>
    <dataValidation type="list" allowBlank="1" showInputMessage="1" showErrorMessage="1" sqref="D49:E49 D54:E54 D59:E59 D42:E42">
      <formula1>beliefbestupper</formula1>
    </dataValidation>
    <dataValidation type="custom" operator="lessThanOrEqual" allowBlank="1" showErrorMessage="1" errorTitle="Input Error" error="Best Estimate must be a number from 0 - 100, or left blank if Data Deficient.&#10;&#10;If the  Lower Bound is Data Deficient, this cell must be left blank." sqref="D67:D68 D86:D87 D63:D64 D22 D25 D28 D32 D95:D96 D90:D91 D100:D101 D71:D72 D76:D77 D82:D83">
      <formula1>AND(C67&lt;&gt;"DD",D67&gt;=0,D67&lt;=100)</formula1>
    </dataValidation>
    <dataValidation type="custom" operator="lessThanOrEqual" allowBlank="1" showErrorMessage="1" errorTitle="Input Error" error="Upper Bound must be a number from 0 - 100, or left blank if Data Deficient.&#10;&#10;If the  Lower Bound is Data Deficient, the Upper Bound must be left blank." sqref="E67:E68 E86:E87 E63:E64 E22 E25 E28 E32 E95:E96 E90:E91 E100:E101 E71:E72 E76:E77 E82:E83">
      <formula1>AND(C67&lt;&gt;"DD",E67&gt;=0,E67&lt;=100)</formula1>
    </dataValidation>
    <dataValidation type="custom" operator="lessThanOrEqual" showErrorMessage="1" errorTitle="Input Error" error="Lower Bound must be a number &lt; or = 100&#10;&#10;If Data Deficient, please enter &quot;DD&quot;&#10;&#10;(NOTE: if Lower Bound is Data Deficient, Best Estimate and Upper Bound must be left blank)" sqref="C76:C77 C63:C64 C67:C68 C71:C72 C82:C83 C86:C87 C90:C91 C95:C96 C100:C101 C22 C25 C28 C32">
      <formula1>OR(AND(C76="DD",D76="",E76=""),C76=100,C76&lt;100)</formula1>
    </dataValidation>
    <dataValidation type="custom" operator="lessThanOrEqual" allowBlank="1" showErrorMessage="1" errorTitle="Input Error" error="Lower Bound must be a number &gt; or = 0&#10;&#10;If Data Deficient, please enter &quot;DD&quot;&#10;&#10;(NOTE: if Lower Bound is Data Deficient, Best Estimate and Upper Bound must be left blank)" sqref="C37 C39 C47">
      <formula1>OR(AND(C37="DD",D37="",E37=""),C37&gt;=0)</formula1>
    </dataValidation>
    <dataValidation type="custom" operator="lessThanOrEqual" allowBlank="1" showErrorMessage="1" errorTitle="Input Error" error="Best Estimate must be a number &gt; or = 0, or left blank if Data Deficient.&#10;&#10;If the  Lower Bound is Data Deficient, this cell must be left blank." sqref="D37 D39 D47">
      <formula1>AND(C37&lt;&gt;"DD",D37&gt;=0)</formula1>
    </dataValidation>
    <dataValidation type="custom" operator="lessThanOrEqual" allowBlank="1" showErrorMessage="1" errorTitle="Input Error" error="Upper Bound must be a number &gt; or = 0, or left blank if Data Deficient.&#10;&#10;If the  Lower Bound is Data Deficient, the Upper Bound must be left blank." sqref="E37 E39 E47">
      <formula1>AND(C37&lt;&gt;"DD",E37&gt;=0)</formula1>
    </dataValidation>
  </dataValidations>
  <printOptions/>
  <pageMargins left="0.590551181102362" right="0.393700787401575" top="0.393700787401575" bottom="0.393700787401575" header="0.511811023622047" footer="0.511811023622047"/>
  <pageSetup horizontalDpi="600" verticalDpi="600" orientation="portrait" paperSize="9" r:id="rId4"/>
  <ignoredErrors>
    <ignoredError sqref="F38:F39 G38:G39" formula="1"/>
    <ignoredError sqref="P32" evalError="1"/>
  </ignoredErrors>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A52"/>
  <sheetViews>
    <sheetView zoomScalePageLayoutView="0" workbookViewId="0" topLeftCell="A16">
      <selection activeCell="A29" sqref="A18:A29"/>
    </sheetView>
  </sheetViews>
  <sheetFormatPr defaultColWidth="9.140625" defaultRowHeight="12.75"/>
  <cols>
    <col min="1" max="1" width="51.421875" style="0" customWidth="1"/>
  </cols>
  <sheetData>
    <row r="1" ht="12.75">
      <c r="A1" s="22" t="s">
        <v>159</v>
      </c>
    </row>
    <row r="2" ht="12.75">
      <c r="A2" t="s">
        <v>144</v>
      </c>
    </row>
    <row r="3" ht="12.75">
      <c r="A3" t="s">
        <v>145</v>
      </c>
    </row>
    <row r="4" ht="12.75">
      <c r="A4" t="s">
        <v>146</v>
      </c>
    </row>
    <row r="6" ht="12.75">
      <c r="A6" s="22" t="s">
        <v>116</v>
      </c>
    </row>
    <row r="7" ht="12.75">
      <c r="A7" t="s">
        <v>155</v>
      </c>
    </row>
    <row r="8" ht="12.75">
      <c r="A8" t="s">
        <v>156</v>
      </c>
    </row>
    <row r="9" ht="12.75">
      <c r="A9" t="s">
        <v>157</v>
      </c>
    </row>
    <row r="10" ht="12.75">
      <c r="A10" t="s">
        <v>297</v>
      </c>
    </row>
    <row r="11" ht="15.75">
      <c r="A11" s="23"/>
    </row>
    <row r="12" ht="12.75">
      <c r="A12" s="22" t="s">
        <v>117</v>
      </c>
    </row>
    <row r="13" ht="12.75">
      <c r="A13" t="s">
        <v>158</v>
      </c>
    </row>
    <row r="14" ht="12.75">
      <c r="A14" t="s">
        <v>157</v>
      </c>
    </row>
    <row r="15" ht="12.75">
      <c r="A15" t="s">
        <v>297</v>
      </c>
    </row>
    <row r="17" ht="12.75">
      <c r="A17" s="22" t="s">
        <v>367</v>
      </c>
    </row>
    <row r="18" ht="12.75">
      <c r="A18" s="34">
        <v>0</v>
      </c>
    </row>
    <row r="19" ht="12.75">
      <c r="A19" s="34">
        <v>0.1</v>
      </c>
    </row>
    <row r="20" ht="12.75">
      <c r="A20" s="34">
        <v>0.2</v>
      </c>
    </row>
    <row r="21" ht="12.75">
      <c r="A21" s="34">
        <v>0.3</v>
      </c>
    </row>
    <row r="22" ht="12.75">
      <c r="A22" s="34">
        <v>0.4</v>
      </c>
    </row>
    <row r="23" ht="12.75">
      <c r="A23" s="34">
        <v>0.5</v>
      </c>
    </row>
    <row r="24" ht="12.75">
      <c r="A24" s="34">
        <v>0.6</v>
      </c>
    </row>
    <row r="25" ht="12.75">
      <c r="A25" s="34">
        <v>0.7</v>
      </c>
    </row>
    <row r="26" ht="12.75">
      <c r="A26" s="34">
        <v>0.8</v>
      </c>
    </row>
    <row r="27" ht="12.75">
      <c r="A27" s="34">
        <v>0.9</v>
      </c>
    </row>
    <row r="28" ht="12.75">
      <c r="A28" s="34">
        <v>1</v>
      </c>
    </row>
    <row r="29" ht="12.75">
      <c r="A29" s="34" t="s">
        <v>297</v>
      </c>
    </row>
    <row r="30" ht="12.75">
      <c r="A30" s="34"/>
    </row>
    <row r="31" ht="12.75">
      <c r="A31" s="22" t="s">
        <v>368</v>
      </c>
    </row>
    <row r="32" ht="12.75">
      <c r="A32" s="34">
        <v>0</v>
      </c>
    </row>
    <row r="33" ht="12.75">
      <c r="A33" s="34">
        <v>0.1</v>
      </c>
    </row>
    <row r="34" ht="12.75">
      <c r="A34" s="34">
        <v>0.2</v>
      </c>
    </row>
    <row r="35" ht="12.75">
      <c r="A35" s="34">
        <v>0.3</v>
      </c>
    </row>
    <row r="36" ht="12.75">
      <c r="A36" s="34">
        <v>0.4</v>
      </c>
    </row>
    <row r="37" ht="12.75">
      <c r="A37" s="34">
        <v>0.5</v>
      </c>
    </row>
    <row r="38" ht="12.75">
      <c r="A38" s="34">
        <v>0.6</v>
      </c>
    </row>
    <row r="39" ht="12.75">
      <c r="A39" s="34">
        <v>0.7</v>
      </c>
    </row>
    <row r="40" ht="12.75">
      <c r="A40" s="34">
        <v>0.8</v>
      </c>
    </row>
    <row r="41" ht="12.75">
      <c r="A41" s="34">
        <v>0.9</v>
      </c>
    </row>
    <row r="42" ht="12.75">
      <c r="A42" s="34">
        <v>1</v>
      </c>
    </row>
    <row r="43" ht="12.75">
      <c r="A43" s="34"/>
    </row>
    <row r="44" ht="12.75">
      <c r="A44" s="22" t="s">
        <v>300</v>
      </c>
    </row>
    <row r="45" ht="12.75">
      <c r="A45" t="s">
        <v>155</v>
      </c>
    </row>
    <row r="46" ht="12.75">
      <c r="A46" t="s">
        <v>157</v>
      </c>
    </row>
    <row r="47" ht="12.75">
      <c r="A47" t="s">
        <v>297</v>
      </c>
    </row>
    <row r="49" ht="12.75">
      <c r="A49" s="22" t="s">
        <v>301</v>
      </c>
    </row>
    <row r="50" ht="12.75">
      <c r="A50" t="s">
        <v>305</v>
      </c>
    </row>
    <row r="51" ht="12.75">
      <c r="A51" t="s">
        <v>303</v>
      </c>
    </row>
    <row r="52" ht="12.75">
      <c r="A52" t="s">
        <v>304</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IV35"/>
  <sheetViews>
    <sheetView zoomScalePageLayoutView="0" workbookViewId="0" topLeftCell="A1">
      <selection activeCell="C5" sqref="C5"/>
    </sheetView>
  </sheetViews>
  <sheetFormatPr defaultColWidth="9.140625" defaultRowHeight="12.75"/>
  <cols>
    <col min="1" max="1" width="3.421875" style="425" customWidth="1"/>
    <col min="2" max="2" width="0.42578125" style="0" customWidth="1"/>
    <col min="4" max="4" width="9.57421875" style="0" customWidth="1"/>
    <col min="5" max="5" width="10.140625" style="0" customWidth="1"/>
    <col min="11" max="11" width="9.8515625" style="0" customWidth="1"/>
    <col min="34" max="63" width="10.8515625" style="0" customWidth="1"/>
    <col min="71" max="71" width="10.57421875" style="0" customWidth="1"/>
    <col min="79" max="79" width="10.57421875" style="0" customWidth="1"/>
    <col min="88" max="88" width="10.57421875" style="0" customWidth="1"/>
    <col min="96" max="96" width="10.57421875" style="0" customWidth="1"/>
    <col min="104" max="104" width="10.57421875" style="0" customWidth="1"/>
    <col min="112" max="112" width="10.57421875" style="0" customWidth="1"/>
    <col min="121" max="121" width="10.57421875" style="0" customWidth="1"/>
    <col min="129" max="129" width="10.57421875" style="0" customWidth="1"/>
    <col min="130" max="136" width="10.8515625" style="0" customWidth="1"/>
    <col min="137" max="137" width="13.421875" style="0" customWidth="1"/>
    <col min="138" max="138" width="10.00390625" style="0" customWidth="1"/>
    <col min="159" max="159" width="10.7109375" style="0" customWidth="1"/>
    <col min="160" max="160" width="10.421875" style="0" customWidth="1"/>
    <col min="161" max="164" width="10.28125" style="0" customWidth="1"/>
    <col min="165" max="166" width="10.421875" style="0" customWidth="1"/>
    <col min="192" max="193" width="10.28125" style="0" customWidth="1"/>
    <col min="194" max="195" width="9.7109375" style="0" customWidth="1"/>
    <col min="221" max="222" width="10.28125" style="0" customWidth="1"/>
  </cols>
  <sheetData>
    <row r="1" spans="3:136" ht="12.75">
      <c r="C1" s="470">
        <v>3</v>
      </c>
      <c r="D1" s="470">
        <v>4</v>
      </c>
      <c r="E1" s="470">
        <v>5</v>
      </c>
      <c r="F1" s="470">
        <v>6</v>
      </c>
      <c r="G1" s="470">
        <v>7</v>
      </c>
      <c r="H1" s="470">
        <v>8</v>
      </c>
      <c r="I1" s="470">
        <v>9</v>
      </c>
      <c r="J1" s="470">
        <v>10</v>
      </c>
      <c r="K1" s="470">
        <v>11</v>
      </c>
      <c r="L1" s="470">
        <v>12</v>
      </c>
      <c r="M1" s="470">
        <v>13</v>
      </c>
      <c r="N1" s="470">
        <v>14</v>
      </c>
      <c r="O1" s="470">
        <v>15</v>
      </c>
      <c r="P1" s="470">
        <v>16</v>
      </c>
      <c r="Q1" s="470">
        <v>17</v>
      </c>
      <c r="R1" s="470">
        <v>18</v>
      </c>
      <c r="S1" s="470">
        <v>19</v>
      </c>
      <c r="T1" s="470">
        <v>20</v>
      </c>
      <c r="U1" s="470">
        <v>21</v>
      </c>
      <c r="V1" s="470">
        <v>22</v>
      </c>
      <c r="W1" s="470">
        <v>23</v>
      </c>
      <c r="X1" s="470">
        <v>24</v>
      </c>
      <c r="Y1" s="470">
        <v>25</v>
      </c>
      <c r="Z1" s="470">
        <v>26</v>
      </c>
      <c r="AA1" s="470">
        <v>27</v>
      </c>
      <c r="AB1" s="470">
        <v>28</v>
      </c>
      <c r="AC1" s="470">
        <v>29</v>
      </c>
      <c r="AD1" s="470">
        <v>30</v>
      </c>
      <c r="AE1" s="470">
        <v>31</v>
      </c>
      <c r="AF1" s="470">
        <v>32</v>
      </c>
      <c r="AG1" s="470">
        <v>33</v>
      </c>
      <c r="AH1" s="470">
        <v>34</v>
      </c>
      <c r="AI1" s="470">
        <v>35</v>
      </c>
      <c r="AJ1" s="470">
        <v>36</v>
      </c>
      <c r="AK1" s="470">
        <v>37</v>
      </c>
      <c r="AL1" s="470">
        <v>38</v>
      </c>
      <c r="AM1" s="470">
        <v>39</v>
      </c>
      <c r="AN1" s="470">
        <v>40</v>
      </c>
      <c r="AO1" s="470">
        <v>41</v>
      </c>
      <c r="AP1" s="470">
        <v>42</v>
      </c>
      <c r="AQ1" s="470">
        <v>43</v>
      </c>
      <c r="AR1" s="470">
        <v>44</v>
      </c>
      <c r="AS1" s="470">
        <v>45</v>
      </c>
      <c r="AT1" s="470">
        <v>46</v>
      </c>
      <c r="AU1" s="470">
        <v>47</v>
      </c>
      <c r="AV1" s="470">
        <v>48</v>
      </c>
      <c r="AW1" s="470">
        <v>49</v>
      </c>
      <c r="AX1" s="470">
        <v>50</v>
      </c>
      <c r="AY1" s="470">
        <v>51</v>
      </c>
      <c r="AZ1" s="470">
        <v>52</v>
      </c>
      <c r="BA1" s="470">
        <v>53</v>
      </c>
      <c r="BB1" s="470">
        <v>54</v>
      </c>
      <c r="BC1" s="470">
        <v>55</v>
      </c>
      <c r="BD1" s="470">
        <v>56</v>
      </c>
      <c r="BE1" s="470">
        <v>57</v>
      </c>
      <c r="BF1" s="470">
        <v>58</v>
      </c>
      <c r="BG1" s="470">
        <v>59</v>
      </c>
      <c r="BH1" s="470">
        <v>60</v>
      </c>
      <c r="BI1" s="470">
        <v>61</v>
      </c>
      <c r="BJ1" s="470">
        <v>62</v>
      </c>
      <c r="BK1" s="470">
        <v>63</v>
      </c>
      <c r="BL1" s="470">
        <v>64</v>
      </c>
      <c r="BM1" s="470">
        <v>65</v>
      </c>
      <c r="BN1" s="470">
        <v>66</v>
      </c>
      <c r="BO1" s="470">
        <v>67</v>
      </c>
      <c r="BP1" s="470">
        <v>68</v>
      </c>
      <c r="BQ1" s="470">
        <v>69</v>
      </c>
      <c r="BR1" s="470">
        <v>70</v>
      </c>
      <c r="BS1" s="470">
        <v>71</v>
      </c>
      <c r="BT1" s="470">
        <v>72</v>
      </c>
      <c r="BU1" s="470">
        <v>73</v>
      </c>
      <c r="BV1" s="470">
        <v>74</v>
      </c>
      <c r="BW1" s="470">
        <v>75</v>
      </c>
      <c r="BX1" s="470">
        <v>76</v>
      </c>
      <c r="BY1" s="470">
        <v>77</v>
      </c>
      <c r="BZ1" s="470">
        <v>78</v>
      </c>
      <c r="CA1" s="470">
        <v>79</v>
      </c>
      <c r="CB1" s="470">
        <v>80</v>
      </c>
      <c r="CC1" s="470">
        <v>81</v>
      </c>
      <c r="CD1" s="470">
        <v>82</v>
      </c>
      <c r="CE1" s="470">
        <v>83</v>
      </c>
      <c r="CF1" s="470">
        <v>84</v>
      </c>
      <c r="CG1" s="470">
        <v>85</v>
      </c>
      <c r="CH1" s="470">
        <v>86</v>
      </c>
      <c r="CI1" s="470">
        <v>87</v>
      </c>
      <c r="CJ1" s="470">
        <v>88</v>
      </c>
      <c r="CK1" s="470">
        <v>89</v>
      </c>
      <c r="CL1" s="470">
        <v>90</v>
      </c>
      <c r="CM1" s="470">
        <v>91</v>
      </c>
      <c r="CN1" s="470">
        <v>92</v>
      </c>
      <c r="CO1" s="470">
        <v>93</v>
      </c>
      <c r="CP1" s="470">
        <v>94</v>
      </c>
      <c r="CQ1" s="470">
        <v>95</v>
      </c>
      <c r="CR1" s="470">
        <v>96</v>
      </c>
      <c r="CS1" s="470">
        <v>97</v>
      </c>
      <c r="CT1" s="470">
        <v>98</v>
      </c>
      <c r="CU1" s="470">
        <v>99</v>
      </c>
      <c r="CV1" s="470">
        <v>100</v>
      </c>
      <c r="CW1" s="470">
        <v>101</v>
      </c>
      <c r="CX1" s="470">
        <v>102</v>
      </c>
      <c r="CY1" s="470">
        <v>103</v>
      </c>
      <c r="CZ1" s="470">
        <v>104</v>
      </c>
      <c r="DA1" s="470">
        <v>105</v>
      </c>
      <c r="DB1" s="470">
        <v>106</v>
      </c>
      <c r="DC1" s="470">
        <v>107</v>
      </c>
      <c r="DD1" s="470">
        <v>108</v>
      </c>
      <c r="DE1" s="470">
        <v>109</v>
      </c>
      <c r="DF1" s="470">
        <v>110</v>
      </c>
      <c r="DG1" s="470">
        <v>111</v>
      </c>
      <c r="DH1" s="470">
        <v>112</v>
      </c>
      <c r="DI1" s="470">
        <v>113</v>
      </c>
      <c r="DJ1" s="470">
        <v>114</v>
      </c>
      <c r="DK1" s="470">
        <v>115</v>
      </c>
      <c r="DL1" s="470">
        <v>116</v>
      </c>
      <c r="DM1" s="470">
        <v>117</v>
      </c>
      <c r="DN1" s="470">
        <v>118</v>
      </c>
      <c r="DO1" s="470">
        <v>119</v>
      </c>
      <c r="DP1" s="470">
        <v>120</v>
      </c>
      <c r="DQ1" s="470">
        <v>121</v>
      </c>
      <c r="DR1" s="470">
        <v>122</v>
      </c>
      <c r="DS1" s="470">
        <v>123</v>
      </c>
      <c r="DT1" s="470">
        <v>124</v>
      </c>
      <c r="DU1" s="470">
        <v>125</v>
      </c>
      <c r="DV1" s="470">
        <v>126</v>
      </c>
      <c r="DW1" s="470">
        <v>127</v>
      </c>
      <c r="DX1" s="470">
        <v>128</v>
      </c>
      <c r="DY1" s="470">
        <v>129</v>
      </c>
      <c r="DZ1" s="470">
        <v>130</v>
      </c>
      <c r="EA1" s="470">
        <v>131</v>
      </c>
      <c r="EB1" s="470">
        <v>132</v>
      </c>
      <c r="EC1" s="470">
        <v>133</v>
      </c>
      <c r="ED1" s="470">
        <v>134</v>
      </c>
      <c r="EE1" s="470">
        <v>135</v>
      </c>
      <c r="EF1" s="470">
        <v>136</v>
      </c>
    </row>
    <row r="2" ht="13.5" thickBot="1"/>
    <row r="3" spans="1:256" s="105" customFormat="1" ht="14.25" customHeight="1" thickBot="1">
      <c r="A3" s="426"/>
      <c r="B3" s="102"/>
      <c r="C3" s="103" t="s">
        <v>188</v>
      </c>
      <c r="D3" s="102"/>
      <c r="E3" s="102"/>
      <c r="F3" s="102"/>
      <c r="G3" s="102"/>
      <c r="H3" s="102"/>
      <c r="I3" s="102"/>
      <c r="J3" s="102"/>
      <c r="K3" s="102"/>
      <c r="L3" s="102"/>
      <c r="M3" s="103"/>
      <c r="N3" s="103"/>
      <c r="O3" s="103" t="s">
        <v>188</v>
      </c>
      <c r="P3" s="102"/>
      <c r="Q3" s="102"/>
      <c r="R3" s="102"/>
      <c r="S3" s="102"/>
      <c r="T3" s="102"/>
      <c r="U3" s="102"/>
      <c r="V3" s="102"/>
      <c r="W3" s="102"/>
      <c r="X3" s="102"/>
      <c r="Y3" s="103"/>
      <c r="Z3" s="103"/>
      <c r="AA3" s="103" t="s">
        <v>188</v>
      </c>
      <c r="AB3" s="102"/>
      <c r="AC3" s="103"/>
      <c r="AD3" s="102"/>
      <c r="AE3" s="102"/>
      <c r="AF3" s="102"/>
      <c r="AG3" s="102"/>
      <c r="AH3" s="103"/>
      <c r="AI3" s="102"/>
      <c r="AJ3" s="102"/>
      <c r="AK3" s="102"/>
      <c r="AL3" s="103" t="s">
        <v>188</v>
      </c>
      <c r="AM3" s="102"/>
      <c r="AN3" s="102"/>
      <c r="AO3" s="102"/>
      <c r="AP3" s="102"/>
      <c r="AQ3" s="102"/>
      <c r="AR3" s="102"/>
      <c r="AS3" s="102"/>
      <c r="AT3" s="102"/>
      <c r="AU3" s="102"/>
      <c r="AV3" s="103" t="s">
        <v>188</v>
      </c>
      <c r="AW3" s="102"/>
      <c r="AX3" s="102"/>
      <c r="AY3" s="102"/>
      <c r="AZ3" s="102"/>
      <c r="BA3" s="102"/>
      <c r="BB3" s="102"/>
      <c r="BC3" s="102"/>
      <c r="BD3" s="102"/>
      <c r="BE3" s="102"/>
      <c r="BF3" s="103" t="s">
        <v>188</v>
      </c>
      <c r="BG3" s="102"/>
      <c r="BH3" s="102"/>
      <c r="BI3" s="102"/>
      <c r="BJ3" s="102"/>
      <c r="BK3" s="102"/>
      <c r="BL3" s="102"/>
      <c r="BM3" s="102"/>
      <c r="BN3" s="102"/>
      <c r="BO3" s="102"/>
      <c r="BP3" s="103"/>
      <c r="BQ3" s="103" t="s">
        <v>188</v>
      </c>
      <c r="BR3" s="102"/>
      <c r="BS3" s="102"/>
      <c r="BT3" s="102"/>
      <c r="BU3" s="102"/>
      <c r="BV3" s="102"/>
      <c r="BW3" s="102"/>
      <c r="BX3" s="102"/>
      <c r="BY3" s="102"/>
      <c r="BZ3" s="102"/>
      <c r="CA3" s="103"/>
      <c r="CB3" s="103"/>
      <c r="CC3" s="103" t="s">
        <v>188</v>
      </c>
      <c r="CD3" s="102"/>
      <c r="CE3" s="102"/>
      <c r="CF3" s="102"/>
      <c r="CG3" s="102"/>
      <c r="CH3" s="102"/>
      <c r="CI3" s="102"/>
      <c r="CJ3" s="102"/>
      <c r="CK3" s="102"/>
      <c r="CL3" s="102"/>
      <c r="CM3" s="103"/>
      <c r="CN3" s="103"/>
      <c r="CO3" s="103" t="s">
        <v>188</v>
      </c>
      <c r="CP3" s="102"/>
      <c r="CQ3" s="102"/>
      <c r="CR3" s="102"/>
      <c r="CS3" s="102"/>
      <c r="CT3" s="102"/>
      <c r="CU3" s="102"/>
      <c r="CV3" s="102"/>
      <c r="CW3" s="102"/>
      <c r="CX3" s="102"/>
      <c r="CY3" s="103"/>
      <c r="CZ3" s="103"/>
      <c r="DA3" s="103" t="s">
        <v>188</v>
      </c>
      <c r="DB3" s="102"/>
      <c r="DC3" s="102"/>
      <c r="DD3" s="102"/>
      <c r="DE3" s="102"/>
      <c r="DF3" s="102"/>
      <c r="DG3" s="102"/>
      <c r="DH3" s="102"/>
      <c r="DI3" s="102"/>
      <c r="DJ3" s="102"/>
      <c r="DK3" s="103"/>
      <c r="DL3" s="103"/>
      <c r="DM3" s="103" t="s">
        <v>188</v>
      </c>
      <c r="DN3" s="102"/>
      <c r="DO3" s="102"/>
      <c r="DP3" s="102"/>
      <c r="DQ3" s="102"/>
      <c r="DR3" s="102"/>
      <c r="DS3" s="102"/>
      <c r="DT3" s="102"/>
      <c r="DU3" s="102"/>
      <c r="DV3" s="102"/>
      <c r="DW3" s="103"/>
      <c r="DX3" s="103" t="s">
        <v>188</v>
      </c>
      <c r="DY3" s="102"/>
      <c r="DZ3" s="102"/>
      <c r="EA3" s="102"/>
      <c r="EB3" s="102"/>
      <c r="EC3" s="102"/>
      <c r="ED3" s="102"/>
      <c r="EE3" s="102"/>
      <c r="EF3" s="138"/>
      <c r="EG3"/>
      <c r="EH3"/>
      <c r="EI3"/>
      <c r="EJ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5" s="108" customFormat="1" ht="12.75" customHeight="1">
      <c r="A4" s="570"/>
      <c r="B4" s="106"/>
      <c r="C4" s="452">
        <f>Main!C10</f>
        <v>0</v>
      </c>
      <c r="D4" s="107">
        <f>Main!C11</f>
        <v>0</v>
      </c>
      <c r="E4" s="407">
        <f>Main!C12</f>
        <v>0</v>
      </c>
      <c r="F4" s="107">
        <f>Main!C13</f>
        <v>0</v>
      </c>
      <c r="G4" s="107">
        <f>Main!C14</f>
        <v>0</v>
      </c>
      <c r="H4" s="107">
        <f>Main!C15</f>
        <v>0</v>
      </c>
      <c r="I4" s="107" t="str">
        <f>IF(Main!C16="","DD",Main!C16)</f>
        <v>DD</v>
      </c>
      <c r="J4" s="107" t="str">
        <f>IF(Main!C17="","DD",Main!C17)</f>
        <v>DD</v>
      </c>
      <c r="K4" s="107">
        <f>Main!C18</f>
        <v>0</v>
      </c>
      <c r="L4" s="107" t="str">
        <f>IF(Main!C19="","DD",Main!C19)</f>
        <v>DD</v>
      </c>
      <c r="M4" s="149">
        <f>Main!C22</f>
        <v>0</v>
      </c>
      <c r="N4" s="152" t="str">
        <f>IF(Main!D22="","DD",Main!D22)</f>
        <v>DD</v>
      </c>
      <c r="O4" s="150" t="str">
        <f>IF(Main!E22="","DD",Main!E22)</f>
        <v>DD</v>
      </c>
      <c r="P4" s="152" t="str">
        <f>IF(Main!C23="","DD",Main!C23)</f>
        <v>DD</v>
      </c>
      <c r="Q4" s="152" t="str">
        <f>IF(Main!C24="","DD",Main!C24)</f>
        <v>DD</v>
      </c>
      <c r="R4" s="149">
        <f>Main!C25</f>
        <v>0</v>
      </c>
      <c r="S4" s="152" t="str">
        <f>IF(Main!D25="","DD",Main!D25)</f>
        <v>DD</v>
      </c>
      <c r="T4" s="150" t="str">
        <f>IF(Main!E25="","DD",Main!E25)</f>
        <v>DD</v>
      </c>
      <c r="U4" s="152" t="str">
        <f>IF(Main!C26="","DD",Main!C26)</f>
        <v>DD</v>
      </c>
      <c r="V4" s="151" t="str">
        <f>IF(Main!C27="","DD",Main!C27)</f>
        <v>DD</v>
      </c>
      <c r="W4" s="149">
        <f>Main!C28</f>
        <v>0</v>
      </c>
      <c r="X4" s="152" t="str">
        <f>IF(Main!D28="","DD",Main!D28)</f>
        <v>DD</v>
      </c>
      <c r="Y4" s="150" t="str">
        <f>IF(Main!E28="","DD",Main!E28)</f>
        <v>DD</v>
      </c>
      <c r="Z4" s="152" t="str">
        <f>IF(Main!C29="","DD",Main!C29)</f>
        <v>DD</v>
      </c>
      <c r="AA4" s="152" t="str">
        <f>IF(Main!C30="","DD",Main!C30)</f>
        <v>DD</v>
      </c>
      <c r="AB4" s="151" t="str">
        <f>IF(Main!C31="","DD",Main!C31)</f>
        <v>DD</v>
      </c>
      <c r="AC4" s="149">
        <f>Main!C32</f>
        <v>0</v>
      </c>
      <c r="AD4" s="152" t="str">
        <f>IF(Main!D32="","DD",Main!D32)</f>
        <v>DD</v>
      </c>
      <c r="AE4" s="150" t="str">
        <f>IF(Main!E32="","DD",Main!E32)</f>
        <v>DD</v>
      </c>
      <c r="AF4" s="152" t="str">
        <f>IF(Main!C33="","DD",Main!C33)</f>
        <v>DD</v>
      </c>
      <c r="AG4" s="151" t="str">
        <f>IF(Main!C34="","DD",Main!C34)</f>
        <v>DD</v>
      </c>
      <c r="AH4" s="484">
        <f>Main!C37</f>
        <v>0</v>
      </c>
      <c r="AI4" s="152" t="str">
        <f>IF(Main!D37="","DD",Main!D37)</f>
        <v>DD</v>
      </c>
      <c r="AJ4" s="152" t="str">
        <f>IF(Main!E37="","DD",Main!E37)</f>
        <v>DD</v>
      </c>
      <c r="AK4" s="159">
        <f>Main!C38</f>
        <v>0</v>
      </c>
      <c r="AL4" s="484">
        <f>Main!C39</f>
        <v>0</v>
      </c>
      <c r="AM4" s="152" t="str">
        <f>IF(Main!D39="","DD",Main!D39)</f>
        <v>DD</v>
      </c>
      <c r="AN4" s="152" t="str">
        <f>IF(Main!E39="","DD",Main!E39)</f>
        <v>DD</v>
      </c>
      <c r="AO4" s="159">
        <f>Main!C40</f>
        <v>0</v>
      </c>
      <c r="AP4" s="149">
        <f>Main!C42</f>
        <v>0</v>
      </c>
      <c r="AQ4" s="152" t="str">
        <f>IF(Main!D42="","DD",Main!D42)</f>
        <v>DD</v>
      </c>
      <c r="AR4" s="153" t="str">
        <f>IF(Main!E42="","DD",Main!E42)</f>
        <v>DD</v>
      </c>
      <c r="AS4" s="154" t="str">
        <f>IF(Main!C43="","DD",Main!C43)</f>
        <v>DD</v>
      </c>
      <c r="AT4" s="154" t="str">
        <f>IF(Main!C44="","DD",Main!C44)</f>
        <v>DD</v>
      </c>
      <c r="AU4" s="151" t="str">
        <f>IF(Main!C45="",".",Main!C45)</f>
        <v>.</v>
      </c>
      <c r="AV4" s="484">
        <f>Main!C47</f>
        <v>0</v>
      </c>
      <c r="AW4" s="152" t="str">
        <f>IF(Main!D47="","DD",Main!D47)</f>
        <v>DD</v>
      </c>
      <c r="AX4" s="151" t="str">
        <f>IF(Main!E47="","DD",Main!E47)</f>
        <v>DD</v>
      </c>
      <c r="AY4" s="152">
        <f>Main!C49</f>
        <v>0</v>
      </c>
      <c r="AZ4" s="488" t="str">
        <f>IF(Main!D49="","DD",Main!D49)</f>
        <v>DD</v>
      </c>
      <c r="BA4" s="153" t="str">
        <f>IF(Main!E49="","DD",Main!E49)</f>
        <v>DD</v>
      </c>
      <c r="BB4" s="152">
        <f>Main!C50</f>
        <v>0</v>
      </c>
      <c r="BC4" s="149">
        <f>Main!C54</f>
        <v>0</v>
      </c>
      <c r="BD4" s="152" t="str">
        <f>IF(Main!D54="","DD",Main!D54)</f>
        <v>DD</v>
      </c>
      <c r="BE4" s="153" t="str">
        <f>IF(Main!E54="","DD",Main!E54)</f>
        <v>DD</v>
      </c>
      <c r="BF4" s="154">
        <f>Main!C55</f>
        <v>0</v>
      </c>
      <c r="BG4" s="151">
        <f>Main!C56</f>
        <v>0</v>
      </c>
      <c r="BH4" s="149">
        <f>Main!C59</f>
        <v>0</v>
      </c>
      <c r="BI4" s="152" t="str">
        <f>IF(Main!D59="","DD",Main!D59)</f>
        <v>DD</v>
      </c>
      <c r="BJ4" s="153" t="str">
        <f>IF(Main!E59="","DD",Main!E59)</f>
        <v>DD</v>
      </c>
      <c r="BK4" s="154">
        <f>Main!C60</f>
        <v>0</v>
      </c>
      <c r="BL4" s="149">
        <f>Main!C63</f>
        <v>0</v>
      </c>
      <c r="BM4" s="152" t="str">
        <f>IF(Main!D63="","DD",Main!D63)</f>
        <v>DD</v>
      </c>
      <c r="BN4" s="492" t="str">
        <f>IF(Main!E63="","DD",Main!E63)</f>
        <v>DD</v>
      </c>
      <c r="BO4" s="152">
        <f>Main!C64</f>
        <v>0</v>
      </c>
      <c r="BP4" s="152" t="str">
        <f>IF(Main!D64="","DD",Main!D64)</f>
        <v>DD</v>
      </c>
      <c r="BQ4" s="492" t="str">
        <f>IF(Main!E64="","DD",Main!E64)</f>
        <v>DD</v>
      </c>
      <c r="BR4" s="152">
        <f>Main!C65</f>
        <v>0</v>
      </c>
      <c r="BS4" s="152">
        <f>Main!C66</f>
        <v>0</v>
      </c>
      <c r="BT4" s="149">
        <f>Main!C67</f>
        <v>0</v>
      </c>
      <c r="BU4" s="152" t="str">
        <f>IF(Main!D67="","DD",Main!D67)</f>
        <v>DD</v>
      </c>
      <c r="BV4" s="492" t="str">
        <f>IF(Main!E67="","DD",Main!E67)</f>
        <v>DD</v>
      </c>
      <c r="BW4" s="152">
        <f>Main!C68</f>
        <v>0</v>
      </c>
      <c r="BX4" s="152" t="str">
        <f>IF(Main!D68="","DD",Main!D68)</f>
        <v>DD</v>
      </c>
      <c r="BY4" s="492" t="str">
        <f>IF(Main!E68="","DD",Main!E68)</f>
        <v>DD</v>
      </c>
      <c r="BZ4" s="152">
        <f>Main!C69</f>
        <v>0</v>
      </c>
      <c r="CA4" s="152">
        <f>Main!C70</f>
        <v>0</v>
      </c>
      <c r="CB4" s="149">
        <f>Main!C71</f>
        <v>0</v>
      </c>
      <c r="CC4" s="152" t="str">
        <f>IF(Main!D71="","DD",Main!D71)</f>
        <v>DD</v>
      </c>
      <c r="CD4" s="492" t="str">
        <f>IF(Main!E71="","DD",Main!E71)</f>
        <v>DD</v>
      </c>
      <c r="CE4" s="152">
        <f>Main!C72</f>
        <v>0</v>
      </c>
      <c r="CF4" s="152" t="str">
        <f>IF(Main!D72="","DD",Main!D72)</f>
        <v>DD</v>
      </c>
      <c r="CG4" s="492" t="str">
        <f>IF(Main!E72="","DD",Main!E72)</f>
        <v>DD</v>
      </c>
      <c r="CH4" s="152">
        <f>Main!C73</f>
        <v>0</v>
      </c>
      <c r="CI4" s="152">
        <f>Main!C74</f>
        <v>0</v>
      </c>
      <c r="CJ4" s="152">
        <f>Main!C75</f>
        <v>0</v>
      </c>
      <c r="CK4" s="149">
        <f>Main!C76</f>
        <v>0</v>
      </c>
      <c r="CL4" s="152" t="str">
        <f>IF(Main!D76="","DD",Main!D76)</f>
        <v>DD</v>
      </c>
      <c r="CM4" s="492" t="str">
        <f>IF(Main!E76="","DD",Main!E76)</f>
        <v>DD</v>
      </c>
      <c r="CN4" s="152">
        <f>Main!C77</f>
        <v>0</v>
      </c>
      <c r="CO4" s="152" t="str">
        <f>IF(Main!D77="","DD",Main!D77)</f>
        <v>DD</v>
      </c>
      <c r="CP4" s="492" t="str">
        <f>IF(Main!E77="","DD",Main!E77)</f>
        <v>DD</v>
      </c>
      <c r="CQ4" s="152">
        <f>Main!C78</f>
        <v>0</v>
      </c>
      <c r="CR4" s="152">
        <f>Main!C79</f>
        <v>0</v>
      </c>
      <c r="CS4" s="149">
        <f>Main!C82</f>
        <v>0</v>
      </c>
      <c r="CT4" s="152" t="str">
        <f>IF(Main!D82="","DD",Main!D82)</f>
        <v>DD</v>
      </c>
      <c r="CU4" s="496" t="str">
        <f>IF(Main!E82="","DD",Main!E82)</f>
        <v>DD</v>
      </c>
      <c r="CV4" s="152">
        <f>Main!C83</f>
        <v>0</v>
      </c>
      <c r="CW4" s="152" t="str">
        <f>IF(Main!D83="","DD",Main!D83)</f>
        <v>DD</v>
      </c>
      <c r="CX4" s="496" t="str">
        <f>IF(Main!E83="","DD",Main!E83)</f>
        <v>DD</v>
      </c>
      <c r="CY4" s="152">
        <f>Main!C84</f>
        <v>0</v>
      </c>
      <c r="CZ4" s="152">
        <f>Main!C85</f>
        <v>0</v>
      </c>
      <c r="DA4" s="149">
        <f>Main!C86</f>
        <v>0</v>
      </c>
      <c r="DB4" s="152" t="str">
        <f>IF(Main!D86="","DD",Main!D86)</f>
        <v>DD</v>
      </c>
      <c r="DC4" s="496" t="str">
        <f>IF(Main!E86="","DD",Main!E86)</f>
        <v>DD</v>
      </c>
      <c r="DD4" s="152">
        <f>Main!C87</f>
        <v>0</v>
      </c>
      <c r="DE4" s="152" t="str">
        <f>IF(Main!D87="","DD",Main!D87)</f>
        <v>DD</v>
      </c>
      <c r="DF4" s="496" t="str">
        <f>IF(Main!E87="","DD",Main!E87)</f>
        <v>DD</v>
      </c>
      <c r="DG4" s="152">
        <f>Main!C88</f>
        <v>0</v>
      </c>
      <c r="DH4" s="152">
        <f>Main!C89</f>
        <v>0</v>
      </c>
      <c r="DI4" s="149">
        <f>Main!C90</f>
        <v>0</v>
      </c>
      <c r="DJ4" s="152" t="str">
        <f>IF(Main!D90="","DD",Main!D90)</f>
        <v>DD</v>
      </c>
      <c r="DK4" s="496" t="str">
        <f>IF(Main!E90="","DD",Main!E90)</f>
        <v>DD</v>
      </c>
      <c r="DL4" s="152">
        <f>Main!C91</f>
        <v>0</v>
      </c>
      <c r="DM4" s="152" t="str">
        <f>IF(Main!D91="","DD",Main!D91)</f>
        <v>DD</v>
      </c>
      <c r="DN4" s="496" t="str">
        <f>IF(Main!E91="","DD",Main!E91)</f>
        <v>DD</v>
      </c>
      <c r="DO4" s="152">
        <f>Main!C92</f>
        <v>0</v>
      </c>
      <c r="DP4" s="152">
        <f>Main!C93</f>
        <v>0</v>
      </c>
      <c r="DQ4" s="152">
        <f>Main!C94</f>
        <v>0</v>
      </c>
      <c r="DR4" s="149">
        <f>Main!C95</f>
        <v>0</v>
      </c>
      <c r="DS4" s="152" t="str">
        <f>IF(Main!D95="","DD",Main!D95)</f>
        <v>DD</v>
      </c>
      <c r="DT4" s="496" t="str">
        <f>IF(Main!E95="","DD",Main!E95)</f>
        <v>DD</v>
      </c>
      <c r="DU4" s="152">
        <f>Main!C96</f>
        <v>0</v>
      </c>
      <c r="DV4" s="152" t="str">
        <f>IF(Main!D96="","DD",Main!D96)</f>
        <v>DD</v>
      </c>
      <c r="DW4" s="496" t="str">
        <f>IF(Main!E96="","DD",Main!E96)</f>
        <v>DD</v>
      </c>
      <c r="DX4" s="152">
        <f>Main!C97</f>
        <v>0</v>
      </c>
      <c r="DY4" s="152">
        <f>Main!C98</f>
        <v>0</v>
      </c>
      <c r="DZ4" s="149">
        <f>Main!C100</f>
        <v>0</v>
      </c>
      <c r="EA4" s="157" t="str">
        <f>IF(Main!D100="","DD",Main!D100)</f>
        <v>DD</v>
      </c>
      <c r="EB4" s="158" t="str">
        <f>IF(Main!E100="","DD",Main!E100)</f>
        <v>DD</v>
      </c>
      <c r="EC4" s="152">
        <f>Main!C101</f>
        <v>0</v>
      </c>
      <c r="ED4" s="157" t="str">
        <f>IF(Main!D101="","DD",Main!D101)</f>
        <v>DD</v>
      </c>
      <c r="EE4" s="158" t="str">
        <f>IF(Main!E101="","DD",Main!E101)</f>
        <v>DD</v>
      </c>
      <c r="EF4" s="159">
        <f>Main!C102</f>
        <v>0</v>
      </c>
      <c r="EG4" s="101"/>
      <c r="EH4" s="519" t="str">
        <f>IF(OR(EI4="CR",EJ4="CR",EK4="CR",EL4="CR",EM4="CR"),"CR",IF(OR(EI4="EN",EJ4="EN",EK4="EN",EL4="EN",EM4="EN"),"EN",IF(OR(EI4="VU",EJ4="VU",EK4="VU",EL4="VU",EM4="VU"),"VU",IF(OR(EI4="LR",EJ4="LR",EK4="LR",EL4="LR",EM4="LR"),"LR","DD"))))</f>
        <v>CR</v>
      </c>
      <c r="EI4" s="505" t="str">
        <f>IF(EZ4=3,"CR",IF(EZ4=2,"EN",IF(EZ4=1,"VU",IF(EZ4=0,"LR","DD"))))</f>
        <v>DD</v>
      </c>
      <c r="EJ4" s="505" t="str">
        <f>IF(FF4=3,"CR",IF(FF4=2,"EN",IF(FF4=1,"VU",IF(FF4=0,"LR","DD"))))</f>
        <v>CR</v>
      </c>
      <c r="EK4" s="505" t="str">
        <f>IF(FP4=3,"CR",IF(FP4=2,"EN",IF(FP4=1,"VU",IF(FP4=0,"LR","DD"))))</f>
        <v>DD</v>
      </c>
      <c r="EL4" s="505" t="str">
        <f>IF(FV4=3,"CR",IF(FV4=2,"EN",IF(FV4=1,"VU",IF(FV4=0,"LR","DD"))))</f>
        <v>DD</v>
      </c>
      <c r="EM4" s="515" t="str">
        <f>IF(GB4=3,"CR",IF(GB4=2,"EN",IF(GB4=1,"VU",IF(GB4=0,"LR","DD"))))</f>
        <v>DD</v>
      </c>
      <c r="EN4" s="518" t="str">
        <f>IF(OR(EO4="CR",EP4="CR",EQ4="CR",ER4="CR",ES4="CR"),"CR",IF(OR(EO4="EN",EP4="EN",EQ4="EN",ER4="EN",ES4="EN"),"EN",IF(OR(EO4="VU",EP4="VU",EQ4="VU",ER4="VU",ES4="VU"),"VU",IF(OR(EO4="LR",EP4="LR",EQ4="LR",ER4="LR",ES4="LR"),"LR","DD"))))</f>
        <v>DD</v>
      </c>
      <c r="EO4" s="506" t="str">
        <f>IF(GC4=3,"CR",IF(GC4=2,"EN",IF(GC4=1,"VU",IF(GC4=0,"LR","DD"))))</f>
        <v>DD</v>
      </c>
      <c r="EP4" s="506" t="str">
        <f>IF(GI4=3,"CR",IF(GI4=2,"EN",IF(GI4=1,"VU",IF(GI4=0,"LR","DD"))))</f>
        <v>DD</v>
      </c>
      <c r="EQ4" s="506" t="str">
        <f>IF(GS4=3,"CR",IF(GS4=2,"EN",IF(GS4=1,"VU",IF(GS4=0,"LR","DD"))))</f>
        <v>DD</v>
      </c>
      <c r="ER4" s="506" t="str">
        <f>IF(GY4=3,"CR",IF(GY4=2,"EN",IF(GY4=1,"VU",IF(GY4=0,"LR","DD"))))</f>
        <v>DD</v>
      </c>
      <c r="ES4" s="506" t="str">
        <f>IF(HE4=3,"CR",IF(HE4=2,"EN",IF(HE4=1,"VU",IF(HE4=0,"LR","DD"))))</f>
        <v>DD</v>
      </c>
      <c r="ET4" s="517" t="str">
        <f>IF(OR(EU4="CR",EV4="CR",EW4="CR",EX4="CR",EY4="CR"),"CR",IF(OR(EU4="EN",EV4="EN",EW4="EN",EX4="EN",EY4="EN"),"EN",IF(OR(EU4="VU",EV4="VU",EW4="VU",EX4="VU",EY4="VU"),"VU",IF(OR(EU4="LR",EV4="LR",EW4="LR",EX4="LR",EY4="LR"),"LR","DD"))))</f>
        <v>LR</v>
      </c>
      <c r="EU4" s="507" t="str">
        <f>IF(HF4=3,"CR",IF(HF4=2,"EN",IF(HF4=1,"VU",IF(HF4=0,"LR","DD"))))</f>
        <v>LR</v>
      </c>
      <c r="EV4" s="507" t="str">
        <f>IF(HL4=3,"CR",IF(HL4=2,"EN",IF(HL4=1,"VU",IF(HL4=0,"LR","DD"))))</f>
        <v>LR</v>
      </c>
      <c r="EW4" s="507" t="str">
        <f>IF(HV4=3,"CR",IF(HV4=2,"EN",IF(HV4=1,"VU",IF(HV4=0,"LR","DD"))))</f>
        <v>LR</v>
      </c>
      <c r="EX4" s="507" t="str">
        <f>IF(IB4=3,"CR",IF(IB4=2,"EN",IF(IB4=1,"VU",IF(IB4=0,"LR","DD"))))</f>
        <v>LR</v>
      </c>
      <c r="EY4" s="516" t="str">
        <f>IF(IH4=3,"CR",IF(IH4=2,"EN",IF(IH4=1,"VU",IF(IH4=0,"LR","DD"))))</f>
        <v>LR</v>
      </c>
      <c r="EZ4" s="500" t="str">
        <f>IF(AND(FA4="DD",FB4="DD",FE4="DD"),"DD",MAX(FA4,FB4,FE4))</f>
        <v>DD</v>
      </c>
      <c r="FA4" s="501" t="str">
        <f>IF(O4="DD","DD",IF(O4&gt;=80,3,IF(O4&gt;=50,2,IF(O4&gt;=30,1,0))))</f>
        <v>DD</v>
      </c>
      <c r="FB4" s="501" t="str">
        <f>IF(AND(T4="DD",Y4="DD"),"DD",MAX(FC4:FD4))</f>
        <v>DD</v>
      </c>
      <c r="FC4" s="501" t="str">
        <f>IF(T4="DD","DD",IF(T4&gt;=80,3,IF(T4&gt;=50,2,IF(T4&gt;=30,1,0))))</f>
        <v>DD</v>
      </c>
      <c r="FD4" s="501" t="str">
        <f>IF(Y4="DD","DD",IF(Y4&gt;=80,3,IF(Y4&gt;=50,2,IF(Y4&gt;=30,1,0))))</f>
        <v>DD</v>
      </c>
      <c r="FE4" s="502" t="str">
        <f>IF(AE4="DD","DD",IF(AE4&gt;=80,3,IF(AE4&gt;=50,2,IF(AE4&gt;=30,1,0))))</f>
        <v>DD</v>
      </c>
      <c r="FF4" s="501">
        <f>IF(AND(FG4="DD",FH4="DD",FO4="DD"),"DD",MAX(FG4,FH4,FO4))</f>
        <v>3</v>
      </c>
      <c r="FG4" s="501">
        <f>IF(AND(FI4="DD",FK4="DD",FL4="DD",FM4="DD"),"DD",IF(MAX(FK4,FL4,FM4)&gt;=FI4,FI4,0))</f>
        <v>3</v>
      </c>
      <c r="FH4" s="501">
        <f>IF(AND(FJ4="DD",FK4="DD",FL4="DD",FN4="DD"),"DD",IF(MAX(FK4,FL4,FN4)&gt;=FJ4,FJ4,0))</f>
        <v>3</v>
      </c>
      <c r="FI4" s="501">
        <f>IF(AH4="DD","DD",IF(AH4&lt;=2000,3,IF(AH4&lt;=20000,2,IF(AH4&lt;=50000,1,0))))</f>
        <v>3</v>
      </c>
      <c r="FJ4" s="501">
        <f>IF(AL4="DD","DD",IF(AL4&lt;=2,3,IF(AL4&lt;=20,2,IF(AL4&lt;=50,1,0))))</f>
        <v>3</v>
      </c>
      <c r="FK4" s="501" t="str">
        <f>IF(AR4="DD","DD",IF(AR4&gt;=0.5,3,0))</f>
        <v>DD</v>
      </c>
      <c r="FL4" s="501" t="str">
        <f>IF(BE4="DD","DD",IF(BE4&gt;=0.5,3,0))</f>
        <v>DD</v>
      </c>
      <c r="FM4" s="501">
        <f>IF(OR(AH4="DD",FI4="DD"),"DD",IF(OR(AND(AV4&lt;=1,FI4=3),AND(AV4&lt;=5,FI4=2),AND(AV4&lt;=10,FI4=1)),3,0))</f>
        <v>3</v>
      </c>
      <c r="FN4" s="501">
        <f>IF(OR(AV4="DD",FJ4="DD"),"DD",IF(OR(AND(AV4&lt;=1,FJ4=3),AND(AV4&lt;=5,FJ4=2),AND(AV4&lt;=10,FJ4=1)),3,0))</f>
        <v>3</v>
      </c>
      <c r="FO4" s="502" t="str">
        <f>IF(OR(BA4="DD",BJ4="DD"),"DD",IF(AND(BA4&gt;=0.5,BJ4&gt;=0.5),1,0))</f>
        <v>DD</v>
      </c>
      <c r="FP4" s="501" t="str">
        <f>IF(AND(FQ4="DD",FR4="DD",FU4="DD"),"DD",MAX(FQ4,FR4,FU4))</f>
        <v>DD</v>
      </c>
      <c r="FQ4" s="501" t="str">
        <f>IF(OR(BN4="DD",BQ4="DD"),"DD",IF(AND(BN4&gt;=80,BQ4&gt;=80),3,IF(OR(AND(BN4&gt;=50,BQ4&gt;=80),AND(BN4&gt;=80,BQ4&gt;=50)),2,IF(OR(AND(BN4&gt;=50,BQ4&gt;=50),AND(BN4&gt;=80,BQ4&gt;=30),AND(BN4&gt;=30,BQ4&gt;=80)),1,0))))</f>
        <v>DD</v>
      </c>
      <c r="FR4" s="501" t="str">
        <f>IF(AND(FS4="DD",FT4="DD"),"DD",MAX(FS4:FT4))</f>
        <v>DD</v>
      </c>
      <c r="FS4" s="501" t="str">
        <f>IF(OR(BV4="DD",BY4="DD"),"DD",IF(AND(BV4&gt;=80,BY4&gt;=80),3,IF(OR(AND(BV4&gt;=50,BY4&gt;=80),AND(BV4&gt;=80,BY4&gt;=50)),2,IF(OR(AND(BV4&gt;=50,BY4&gt;=50),AND(BV4&gt;=80,BY4&gt;=30),AND(BV4&gt;=30,BY4&gt;=80)),1,0))))</f>
        <v>DD</v>
      </c>
      <c r="FT4" s="501" t="str">
        <f>IF(OR(CD4="DD",CG4="DD"),"DD",IF(AND(CD4&gt;=80,CG4&gt;=80),3,IF(OR(AND(CD4&gt;=50,CG4&gt;=80),AND(CD4&gt;=80,CG4&gt;=50)),2,IF(OR(AND(CD4&gt;=50,CG4&gt;=50),AND(CD4&gt;=80,CG4&gt;=30),AND(CD4&gt;=30,CG4&gt;=80)),1,0))))</f>
        <v>DD</v>
      </c>
      <c r="FU4" s="502" t="str">
        <f>IF(OR(CM4="DD",CP4="DD"),"DD",IF(AND(CM4&gt;=90,CP4&gt;=90),3,IF(OR(AND(CM4&gt;=70,CP4&gt;=90),AND(CM4&gt;=90,CP4&gt;=70)),2,IF(OR(AND(CM4&gt;=70,CP4&gt;=70),AND(CM4&gt;=90,CP4&gt;=50),AND(CM4&gt;=50,CP4&gt;=90)),1,0))))</f>
        <v>DD</v>
      </c>
      <c r="FV4" s="501" t="str">
        <f>IF(AND(FW4="DD",FX4="DD",GA4="DD"),"DD",MAX(FW4,FX4,GA4))</f>
        <v>DD</v>
      </c>
      <c r="FW4" s="501" t="str">
        <f>IF(OR(CU4="DD",CX4="DD"),"DD",IF(AND(CU4&gt;=80,CX4&gt;=80),3,IF(OR(AND(CU4&gt;=50,CX4&gt;=80),AND(CU4&gt;=80,CX4&gt;=50)),2,IF(OR(AND(CU4&gt;=50,CX4&gt;=50),AND(CU4&gt;=80,CX4&gt;=30),AND(CU4&gt;=30,CX4&gt;=80)),1,0))))</f>
        <v>DD</v>
      </c>
      <c r="FX4" s="501" t="str">
        <f>IF(AND(FY4="DD",FZ4="DD"),"DD",MAX(FY4:FZ4))</f>
        <v>DD</v>
      </c>
      <c r="FY4" s="501" t="str">
        <f>IF(OR(DC4="DD",DF4="DD"),"DD",IF(AND(DC4&gt;=80,DF4&gt;=80),3,IF(OR(AND(DC4&gt;=50,DF4&gt;=80),AND(DC4&gt;=80,DF4&gt;=50)),2,IF(OR(AND(DC4&gt;=50,DF4&gt;=50),AND(DC4&gt;=80,DF4&gt;=30),AND(DC4&gt;=30,DF4&gt;=80)),1,0))))</f>
        <v>DD</v>
      </c>
      <c r="FZ4" s="501" t="str">
        <f>IF(OR(DK4="DD",DN4="DD"),"DD",IF(AND(DK4&gt;=80,DN4&gt;=80),3,IF(OR(AND(DK4&gt;=50,DN4&gt;=80),AND(DK4&gt;=80,DN4&gt;=50)),2,IF(OR(AND(DK4&gt;=50,DN4&gt;=50),AND(DK4&gt;=80,DN4&gt;=30),AND(DK4&gt;=30,DN4&gt;=80)),1,0))))</f>
        <v>DD</v>
      </c>
      <c r="GA4" s="502" t="str">
        <f>IF(OR(DT4="DD",DW4="DD"),"DD",IF(AND(DT4&gt;=90,DW4&gt;=90),3,IF(OR(AND(DT4&gt;=70,DW4&gt;=90),AND(DT4&gt;=90,DW4&gt;=70)),2,IF(OR(AND(DT4&gt;=70,DW4&gt;=70),AND(DT4&gt;=90,DW4&gt;=50),AND(DT4&gt;=50,DW4&gt;=90)),1,0))))</f>
        <v>DD</v>
      </c>
      <c r="GB4" s="503" t="str">
        <f>IF(AND(EB4="DD",EE4="DD"),"DD",IF(AND(EB4&lt;&gt;"DD",EB4&gt;=50),3,IF(AND(EB4&lt;&gt;"DD",EB4&gt;=20),2,IF(AND(EE4&lt;&gt;"DD",EE4&gt;=10),1,0))))</f>
        <v>DD</v>
      </c>
      <c r="GC4" s="508" t="str">
        <f>IF(AND(GD4="DD",GE4="DD",GH4="DD"),"DD",MAX(GD4,GE4,GH4))</f>
        <v>DD</v>
      </c>
      <c r="GD4" s="508" t="str">
        <f>IF(N4="DD","DD",IF(N4&gt;=80,3,IF(N4&gt;=50,2,IF(N4&gt;=30,1,0))))</f>
        <v>DD</v>
      </c>
      <c r="GE4" s="508" t="str">
        <f>IF(AND(S4="DD",X4="DD"),"DD",MAX(GF4:GG4))</f>
        <v>DD</v>
      </c>
      <c r="GF4" s="508" t="str">
        <f>IF(S4="DD","DD",IF(S4&gt;=80,3,IF(S4&gt;=50,2,IF(S4&gt;=30,1,0))))</f>
        <v>DD</v>
      </c>
      <c r="GG4" s="508" t="str">
        <f>IF(X4="DD","DD",IF(X4&gt;=80,3,IF(X4&gt;=50,2,IF(X4&gt;=30,1,0))))</f>
        <v>DD</v>
      </c>
      <c r="GH4" s="509" t="str">
        <f>IF(AD4="DD","DD",IF(AD4&gt;=80,3,IF(AD4&gt;=50,2,IF(AD4&gt;=30,1,0))))</f>
        <v>DD</v>
      </c>
      <c r="GI4" s="508" t="str">
        <f>IF(AND(GJ4="DD",GK4="DD",GR4="DD"),"DD",MAX(GJ4,GK4,GR4))</f>
        <v>DD</v>
      </c>
      <c r="GJ4" s="508" t="str">
        <f>IF(AND(GL4="DD",GN4="DD",GO4="DD",GP4="DD"),"DD",IF(MAX(GN4,GO4,GP4)&gt;=GL4,GL4,0))</f>
        <v>DD</v>
      </c>
      <c r="GK4" s="508" t="str">
        <f>IF(AND(GM4="DD",GN4="DD",GO4="DD",GQ4="DD"),"DD",IF(MAX(GN4,GO4,GQ4)&gt;=GM4,GM4,0))</f>
        <v>DD</v>
      </c>
      <c r="GL4" s="508" t="str">
        <f>IF(AI4="DD","DD",IF(AI4&lt;=2000,3,IF(AI4&lt;=20000,2,IF(AI4&lt;=50000,1,0))))</f>
        <v>DD</v>
      </c>
      <c r="GM4" s="508" t="str">
        <f>IF(AM4="DD","DD",IF(AM4&lt;=2,3,IF(AM4&lt;=20,2,IF(AM4&lt;=50,1,0))))</f>
        <v>DD</v>
      </c>
      <c r="GN4" s="508" t="str">
        <f>IF(AQ4="DD","DD",IF(AQ4&gt;=0.5,3,0))</f>
        <v>DD</v>
      </c>
      <c r="GO4" s="508" t="str">
        <f>IF(BD4="DD","DD",IF(BD4&gt;=0.5,3,0))</f>
        <v>DD</v>
      </c>
      <c r="GP4" s="508" t="str">
        <f>IF(OR(AI4="DD",GL4="DD"),"DD",IF(OR(AND(AI4&lt;=1,GL4=3),AND(AI4&lt;=5,GL4=2),AND(AI4&lt;=10,GL4=1)),3,0))</f>
        <v>DD</v>
      </c>
      <c r="GQ4" s="508" t="str">
        <f>IF(OR(AW4="DD",GM4="DD"),"DD",IF(OR(AND(AW4&lt;=1,GM4=3),AND(AW4&lt;=5,GM4=2),AND(AW4&lt;=10,GM4=1)),3,0))</f>
        <v>DD</v>
      </c>
      <c r="GR4" s="509" t="str">
        <f>IF(OR(AZ4="DD",BI4="DD"),"DD",IF(AND(AZ4&gt;=0.5,BI4&gt;=0.5),1,0))</f>
        <v>DD</v>
      </c>
      <c r="GS4" s="508" t="str">
        <f>IF(AND(GT4="DD",GU4="DD",GX4="DD"),"DD",MAX(GT4,GU4,GX4))</f>
        <v>DD</v>
      </c>
      <c r="GT4" s="508" t="str">
        <f>IF(OR(BM4="DD",BP4="DD"),"DD",IF(AND(BM4&gt;=80,BP4&gt;=80),3,IF(OR(AND(BM4&gt;=50,BP4&gt;=80),AND(BM4&gt;=80,BP4&gt;=50)),2,IF(OR(AND(BM4&gt;=50,BP4&gt;=50),AND(BM4&gt;=80,BP4&gt;=30),AND(BM4&gt;=30,BP4&gt;=80)),1,0))))</f>
        <v>DD</v>
      </c>
      <c r="GU4" s="508" t="str">
        <f>IF(AND(GV4="DD",GW4="DD"),"DD",MAX(GV4:GW4))</f>
        <v>DD</v>
      </c>
      <c r="GV4" s="508" t="str">
        <f>IF(OR(BU4="DD",BX4="DD"),"DD",IF(AND(BU4&gt;=80,BX4&gt;=80),3,IF(OR(AND(BU4&gt;=50,BX4&gt;=80),AND(BU4&gt;=80,BX4&gt;=50)),2,IF(OR(AND(BU4&gt;=50,BX4&gt;=50),AND(BU4&gt;=80,BX4&gt;=30),AND(BU4&gt;=30,BX4&gt;=80)),1,0))))</f>
        <v>DD</v>
      </c>
      <c r="GW4" s="508" t="str">
        <f>IF(OR(CC4="DD",CF4="DD"),"DD",IF(AND(CC4&gt;=80,CF4&gt;=80),3,IF(OR(AND(CC4&gt;=50,CF4&gt;=80),AND(CC4&gt;=80,CF4&gt;=50)),2,IF(OR(AND(CC4&gt;=50,CF4&gt;=50),AND(CC4&gt;=80,CF4&gt;=30),AND(CC4&gt;=30,CF4&gt;=80)),1,0))))</f>
        <v>DD</v>
      </c>
      <c r="GX4" s="509" t="str">
        <f>IF(OR(CL4="DD",CO4="DD"),"DD",IF(AND(CL4&gt;=90,CO4&gt;=90),3,IF(OR(AND(CL4&gt;=70,CO4&gt;=90),AND(CL4&gt;=90,CO4&gt;=70)),2,IF(OR(AND(CL4&gt;=70,CO4&gt;=70),AND(CL4&gt;=90,CO4&gt;=50),AND(CL4&gt;=50,CO4&gt;=90)),1,0))))</f>
        <v>DD</v>
      </c>
      <c r="GY4" s="508" t="str">
        <f>IF(AND(GZ4="DD",HA4="DD",HD4="DD"),"DD",MAX(GZ4,HA4,HD4))</f>
        <v>DD</v>
      </c>
      <c r="GZ4" s="508" t="str">
        <f>IF(OR(CT4="DD",CW4="DD"),"DD",IF(AND(CT4&gt;=80,CW4&gt;=80),3,IF(OR(AND(CT4&gt;=50,CW4&gt;=80),AND(CT4&gt;=80,CW4&gt;=50)),2,IF(OR(AND(CT4&gt;=50,CW4&gt;=50),AND(CT4&gt;=80,CW4&gt;=30),AND(CT4&gt;=30,CW4&gt;=80)),1,0))))</f>
        <v>DD</v>
      </c>
      <c r="HA4" s="508" t="str">
        <f>IF(AND(HB4="DD",HC4="DD"),"DD",MAX(HB4:HC4))</f>
        <v>DD</v>
      </c>
      <c r="HB4" s="508" t="str">
        <f>IF(OR(DB4="DD",DE4="DD"),"DD",IF(AND(DB4&gt;=80,DE4&gt;=80),3,IF(OR(AND(DB4&gt;=50,DE4&gt;=80),AND(DB4&gt;=80,DE4&gt;=50)),2,IF(OR(AND(DB4&gt;=50,DE4&gt;=50),AND(DB4&gt;=80,DE4&gt;=30),AND(DB4&gt;=30,DE4&gt;=80)),1,0))))</f>
        <v>DD</v>
      </c>
      <c r="HC4" s="508" t="str">
        <f>IF(OR(DJ4="DD",DM4="DD"),"DD",IF(AND(DJ4&gt;=80,DM4&gt;=80),3,IF(OR(AND(DJ4&gt;=50,DM4&gt;=80),AND(DJ4&gt;=80,DM4&gt;=50)),2,IF(OR(AND(DJ4&gt;=50,DM4&gt;=50),AND(DJ4&gt;=80,DM4&gt;=30),AND(DJ4&gt;=30,DM4&gt;=80)),1,0))))</f>
        <v>DD</v>
      </c>
      <c r="HD4" s="509" t="str">
        <f>IF(OR(DS4="DD",DV4="DD"),"DD",IF(AND(DS4&gt;=90,DV4&gt;=90),3,IF(OR(AND(DS4&gt;=70,DV4&gt;=90),AND(DS4&gt;=90,DV4&gt;=70)),2,IF(OR(AND(DS4&gt;=70,DV4&gt;=70),AND(DS4&gt;=90,DV4&gt;=50),AND(DS4&gt;=50,DV4&gt;=90)),1,0))))</f>
        <v>DD</v>
      </c>
      <c r="HE4" s="508" t="str">
        <f>IF(AND(EA4="DD",ED4="DD"),"DD",IF(AND(EA4&lt;&gt;"DD",EA4&gt;=50),3,IF(AND(EA4&lt;&gt;"DD",EA4&gt;=20),2,IF(AND(ED4&lt;&gt;"DD",ED4&gt;=10),1,0))))</f>
        <v>DD</v>
      </c>
      <c r="HF4" s="510">
        <f>IF(AND(HG4="DD",HH4="DD",HK4="DD"),"DD",MAX(HG4,HH4,HK4))</f>
        <v>0</v>
      </c>
      <c r="HG4" s="511">
        <f>IF(M4="DD","DD",IF(M4&gt;=80,3,IF(M4&gt;=50,2,IF(M4&gt;=30,1,0))))</f>
        <v>0</v>
      </c>
      <c r="HH4" s="559">
        <f>IF(AND(R4="DD",W4="DD"),"DD",MAX(HI4:HJ4))</f>
        <v>0</v>
      </c>
      <c r="HI4" s="511">
        <f>IF(R4="DD","DD",IF(R4&gt;=80,3,IF(R4&gt;=50,2,IF(R4&gt;=30,1,0))))</f>
        <v>0</v>
      </c>
      <c r="HJ4" s="511">
        <f>IF(W4="DD","DD",IF(W4&gt;=80,3,IF(W4&gt;=50,2,IF(W4&gt;=30,1,0))))</f>
        <v>0</v>
      </c>
      <c r="HK4" s="512">
        <f>IF(AC4="DD","DD",IF(AC4&gt;=80,3,IF(AC4&gt;=50,2,IF(AC4&gt;=30,1,0))))</f>
        <v>0</v>
      </c>
      <c r="HL4" s="559">
        <f>IF(AND(HM4="DD",HN4="DD",HU4="DD"),"DD",MAX(HM4,HN4,HU4))</f>
        <v>0</v>
      </c>
      <c r="HM4" s="559">
        <f>IF(AND(HO4="DD",HQ4="DD",HR4="DD",HS4="DD"),"DD",IF(MAX(HQ4,HR4,HS4)&gt;=HO4,HO4,0))</f>
        <v>0</v>
      </c>
      <c r="HN4" s="559">
        <f>IF(AND(HP4="DD",HQ4="DD",HR4="DD",HT4="DD"),"DD",IF(MAX(HQ4,HR4,HT4)&gt;=HP4,HP4,0))</f>
        <v>0</v>
      </c>
      <c r="HO4" s="559" t="str">
        <f>IF(AJ4="DD","DD",IF(AJ4&lt;=2000,3,IF(AJ4&lt;=20000,2,IF(AJ4&lt;=50000,1,0))))</f>
        <v>DD</v>
      </c>
      <c r="HP4" s="559" t="str">
        <f>IF(AN4="DD","DD",IF(AN4&lt;=2,3,IF(AN4&lt;=20,2,IF(AN4&lt;=50,1,0))))</f>
        <v>DD</v>
      </c>
      <c r="HQ4" s="511">
        <f>IF(AP4="DD","DD",IF(AP4&gt;=0.5,3,0))</f>
        <v>0</v>
      </c>
      <c r="HR4" s="511">
        <f>IF(BC4="DD","DD",IF(BC4&gt;=0.5,3,0))</f>
        <v>0</v>
      </c>
      <c r="HS4" s="511" t="str">
        <f>IF(OR(AJ4="DD",HO4="DD"),"DD",IF(OR(AND(AJ4&lt;=1,HO4=3),AND(AJ4&lt;=5,HO4=2),AND(AJ4&lt;=10,HO4=1)),3,0))</f>
        <v>DD</v>
      </c>
      <c r="HT4" s="511" t="str">
        <f>IF(OR(AX4="DD",HP4="DD"),"DD",IF(OR(AND(AX4&lt;=1,HP4=3),AND(AX4&lt;=5,HP4=2),AND(AX4&lt;=10,HP4=1)),3,0))</f>
        <v>DD</v>
      </c>
      <c r="HU4" s="512">
        <f>IF(OR(AY4="DD",BH4="DD"),"DD",IF(AND(AY4&gt;=0.5,BH4&gt;=0.5),1,0))</f>
        <v>0</v>
      </c>
      <c r="HV4" s="511">
        <f>IF(AND(HW4="DD",HX4="DD",IA4="DD"),"DD",MAX(HW4,HX4,IA4))</f>
        <v>0</v>
      </c>
      <c r="HW4" s="511">
        <f>IF(OR(BL4="DD",BO4="DD"),"DD",IF(AND(BL4&gt;=80,BO4&gt;=80),3,IF(OR(AND(BL4&gt;=50,BO4&gt;=80),AND(BL4&gt;=80,BO4&gt;=50)),2,IF(OR(AND(BL4&gt;=50,BO4&gt;=50),AND(BL4&gt;=80,BO4&gt;=30),AND(BL4&gt;=30,BO4&gt;=80)),1,0))))</f>
        <v>0</v>
      </c>
      <c r="HX4" s="559">
        <f>IF(AND(HY4="DD",HZ4="DD"),"DD",MAX(HY4:HZ4))</f>
        <v>0</v>
      </c>
      <c r="HY4" s="511">
        <f>IF(OR(BT4="DD",BW4="DD"),"DD",IF(AND(BT4&gt;=80,BW4&gt;=80),3,IF(OR(AND(BT4&gt;=50,BW4&gt;=80),AND(BT4&gt;=80,BW4&gt;=50)),2,IF(OR(AND(BT4&gt;=50,BW4&gt;=50),AND(BT4&gt;=80,BW4&gt;=30),AND(BT4&gt;=30,BW4&gt;=80)),1,0))))</f>
        <v>0</v>
      </c>
      <c r="HZ4" s="511">
        <f>IF(OR(CB4="DD",CE4="DD"),"DD",IF(AND(CB4&gt;=80,CE4&gt;=80),3,IF(OR(AND(CB4&gt;=50,CE4&gt;=80),AND(CB4&gt;=80,CE4&gt;=50)),2,IF(OR(AND(CB4&gt;=50,CE4&gt;=50),AND(CB4&gt;=80,CE4&gt;=30),AND(CB4&gt;=30,CE4&gt;=80)),1,0))))</f>
        <v>0</v>
      </c>
      <c r="IA4" s="512">
        <f>IF(OR(CK4="DD",CN4="DD"),"DD",IF(AND(CK4&gt;=90,CN4&gt;=90),3,IF(OR(AND(CK4&gt;=70,CN4&gt;=90),AND(CK4&gt;=90,CN4&gt;=70)),2,IF(OR(AND(CK4&gt;=70,CN4&gt;=70),AND(CK4&gt;=90,CN4&gt;=50),AND(CK4&gt;=50,CN4&gt;=90)),1,0))))</f>
        <v>0</v>
      </c>
      <c r="IB4" s="511">
        <f>IF(AND(IC4="DD",ID4="DD",IG4="DD"),"DD",MAX(IC4,ID4,IG4))</f>
        <v>0</v>
      </c>
      <c r="IC4" s="511">
        <f>IF(OR(CS4="DD",CV4="DD"),"DD",IF(AND(CS4&gt;=80,CV4&gt;=80),3,IF(OR(AND(CS4&gt;=50,CV4&gt;=80),AND(CS4&gt;=80,CV4&gt;=50)),2,IF(OR(AND(CS4&gt;=50,CV4&gt;=50),AND(CS4&gt;=80,CV4&gt;=30),AND(CS4&gt;=30,CV4&gt;=80)),1,0))))</f>
        <v>0</v>
      </c>
      <c r="ID4" s="559">
        <f>IF(AND(IE4="DD",IF4="DD"),"DD",MAX(IE4:IF4))</f>
        <v>0</v>
      </c>
      <c r="IE4" s="511">
        <f>IF(OR(DA4="DD",DD4="DD"),"DD",IF(AND(DA4&gt;=80,DD4&gt;=80),3,IF(OR(AND(DA4&gt;=50,DD4&gt;=80),AND(DA4&gt;=80,DD4&gt;=50)),2,IF(OR(AND(DA4&gt;=50,DD4&gt;=50),AND(DA4&gt;=80,DD4&gt;=30),AND(DA4&gt;=30,DD4&gt;=80)),1,0))))</f>
        <v>0</v>
      </c>
      <c r="IF4" s="511">
        <f>IF(OR(DI4="DD",DL4="DD"),"DD",IF(AND(DI4&gt;=80,DL4&gt;=80),3,IF(OR(AND(DI4&gt;=50,DL4&gt;=80),AND(DI4&gt;=80,DL4&gt;=50)),2,IF(OR(AND(DI4&gt;=50,DL4&gt;=50),AND(DI4&gt;=80,DL4&gt;=30),AND(DI4&gt;=30,DL4&gt;=80)),1,0))))</f>
        <v>0</v>
      </c>
      <c r="IG4" s="512">
        <f>IF(OR(DR4="DD",DU4="DD"),"DD",IF(AND(DR4&gt;=90,DU4&gt;=90),3,IF(OR(AND(DR4&gt;=70,DU4&gt;=90),AND(DR4&gt;=90,DU4&gt;=70)),2,IF(OR(AND(DR4&gt;=70,DU4&gt;=70),AND(DR4&gt;=90,DU4&gt;=50),AND(DR4&gt;=50,DU4&gt;=90)),1,0))))</f>
        <v>0</v>
      </c>
      <c r="IH4" s="513">
        <f>IF(AND(DZ4="DD",EC4="DD"),"DD",IF(AND(DZ4&lt;&gt;"DD",DZ4&gt;=50),3,IF(AND(DZ4&lt;&gt;"DD",DZ4&gt;=20),2,IF(AND(EC4&lt;&gt;"DD",EC4&gt;=10),1,0))))</f>
        <v>0</v>
      </c>
      <c r="II4"/>
      <c r="IJ4"/>
      <c r="IK4"/>
      <c r="IL4"/>
      <c r="IM4"/>
      <c r="IN4"/>
      <c r="IO4"/>
      <c r="IP4"/>
      <c r="IQ4"/>
      <c r="IR4"/>
      <c r="IS4"/>
      <c r="IT4"/>
      <c r="IU4"/>
    </row>
    <row r="5" spans="1:256" s="108" customFormat="1" ht="12.75">
      <c r="A5" s="571"/>
      <c r="B5" s="109"/>
      <c r="C5" s="453" t="s">
        <v>189</v>
      </c>
      <c r="D5" s="124"/>
      <c r="E5" s="129"/>
      <c r="F5" s="130"/>
      <c r="G5" s="130"/>
      <c r="H5" s="130"/>
      <c r="I5" s="130"/>
      <c r="J5" s="130"/>
      <c r="K5" s="130"/>
      <c r="L5" s="483" t="s">
        <v>308</v>
      </c>
      <c r="M5" s="145" t="s">
        <v>190</v>
      </c>
      <c r="N5" s="139" t="s">
        <v>190</v>
      </c>
      <c r="O5" s="140" t="s">
        <v>190</v>
      </c>
      <c r="P5" s="141" t="s">
        <v>190</v>
      </c>
      <c r="Q5" s="141" t="s">
        <v>190</v>
      </c>
      <c r="R5" s="145" t="s">
        <v>314</v>
      </c>
      <c r="S5" s="139" t="s">
        <v>314</v>
      </c>
      <c r="T5" s="140" t="s">
        <v>314</v>
      </c>
      <c r="U5" s="139" t="s">
        <v>314</v>
      </c>
      <c r="V5" s="146" t="s">
        <v>314</v>
      </c>
      <c r="W5" s="145" t="s">
        <v>315</v>
      </c>
      <c r="X5" s="139" t="s">
        <v>315</v>
      </c>
      <c r="Y5" s="140" t="s">
        <v>315</v>
      </c>
      <c r="Z5" s="141" t="s">
        <v>315</v>
      </c>
      <c r="AA5" s="141" t="s">
        <v>315</v>
      </c>
      <c r="AB5" s="146" t="s">
        <v>315</v>
      </c>
      <c r="AC5" s="155" t="s">
        <v>191</v>
      </c>
      <c r="AD5" s="141" t="s">
        <v>191</v>
      </c>
      <c r="AE5" s="142" t="s">
        <v>191</v>
      </c>
      <c r="AF5" s="139" t="s">
        <v>191</v>
      </c>
      <c r="AG5" s="146" t="s">
        <v>191</v>
      </c>
      <c r="AH5" s="485" t="s">
        <v>204</v>
      </c>
      <c r="AI5" s="141" t="s">
        <v>204</v>
      </c>
      <c r="AJ5" s="141" t="s">
        <v>204</v>
      </c>
      <c r="AK5" s="146" t="s">
        <v>204</v>
      </c>
      <c r="AL5" s="485" t="s">
        <v>205</v>
      </c>
      <c r="AM5" s="141" t="s">
        <v>205</v>
      </c>
      <c r="AN5" s="141" t="s">
        <v>205</v>
      </c>
      <c r="AO5" s="146" t="s">
        <v>205</v>
      </c>
      <c r="AP5" s="155" t="s">
        <v>14</v>
      </c>
      <c r="AQ5" s="141" t="s">
        <v>14</v>
      </c>
      <c r="AR5" s="143" t="s">
        <v>14</v>
      </c>
      <c r="AS5" s="141" t="s">
        <v>14</v>
      </c>
      <c r="AT5" s="141" t="s">
        <v>14</v>
      </c>
      <c r="AU5" s="146" t="s">
        <v>14</v>
      </c>
      <c r="AV5" s="485" t="s">
        <v>17</v>
      </c>
      <c r="AW5" s="141" t="s">
        <v>17</v>
      </c>
      <c r="AX5" s="146" t="s">
        <v>17</v>
      </c>
      <c r="AY5" s="141" t="s">
        <v>23</v>
      </c>
      <c r="AZ5" s="141" t="s">
        <v>23</v>
      </c>
      <c r="BA5" s="143" t="s">
        <v>23</v>
      </c>
      <c r="BB5" s="141" t="s">
        <v>23</v>
      </c>
      <c r="BC5" s="155" t="s">
        <v>16</v>
      </c>
      <c r="BD5" s="141" t="s">
        <v>16</v>
      </c>
      <c r="BE5" s="143" t="s">
        <v>16</v>
      </c>
      <c r="BF5" s="141" t="s">
        <v>16</v>
      </c>
      <c r="BG5" s="146" t="s">
        <v>16</v>
      </c>
      <c r="BH5" s="155" t="s">
        <v>23</v>
      </c>
      <c r="BI5" s="141" t="s">
        <v>23</v>
      </c>
      <c r="BJ5" s="143" t="s">
        <v>23</v>
      </c>
      <c r="BK5" s="141" t="s">
        <v>23</v>
      </c>
      <c r="BL5" s="155" t="s">
        <v>192</v>
      </c>
      <c r="BM5" s="141" t="s">
        <v>192</v>
      </c>
      <c r="BN5" s="493" t="s">
        <v>192</v>
      </c>
      <c r="BO5" s="141" t="s">
        <v>192</v>
      </c>
      <c r="BP5" s="141" t="s">
        <v>192</v>
      </c>
      <c r="BQ5" s="493" t="s">
        <v>192</v>
      </c>
      <c r="BR5" s="141" t="s">
        <v>192</v>
      </c>
      <c r="BS5" s="141" t="s">
        <v>192</v>
      </c>
      <c r="BT5" s="155" t="s">
        <v>28</v>
      </c>
      <c r="BU5" s="141" t="s">
        <v>28</v>
      </c>
      <c r="BV5" s="493" t="s">
        <v>28</v>
      </c>
      <c r="BW5" s="141" t="s">
        <v>28</v>
      </c>
      <c r="BX5" s="141" t="s">
        <v>28</v>
      </c>
      <c r="BY5" s="493" t="s">
        <v>28</v>
      </c>
      <c r="BZ5" s="141" t="s">
        <v>28</v>
      </c>
      <c r="CA5" s="141" t="s">
        <v>28</v>
      </c>
      <c r="CB5" s="155" t="s">
        <v>29</v>
      </c>
      <c r="CC5" s="141" t="s">
        <v>29</v>
      </c>
      <c r="CD5" s="493" t="s">
        <v>29</v>
      </c>
      <c r="CE5" s="141" t="s">
        <v>29</v>
      </c>
      <c r="CF5" s="141" t="s">
        <v>29</v>
      </c>
      <c r="CG5" s="493" t="s">
        <v>29</v>
      </c>
      <c r="CH5" s="141" t="s">
        <v>29</v>
      </c>
      <c r="CI5" s="141" t="s">
        <v>29</v>
      </c>
      <c r="CJ5" s="141" t="s">
        <v>29</v>
      </c>
      <c r="CK5" s="155" t="s">
        <v>31</v>
      </c>
      <c r="CL5" s="141" t="s">
        <v>31</v>
      </c>
      <c r="CM5" s="493" t="s">
        <v>31</v>
      </c>
      <c r="CN5" s="141" t="s">
        <v>31</v>
      </c>
      <c r="CO5" s="141" t="s">
        <v>31</v>
      </c>
      <c r="CP5" s="493" t="s">
        <v>31</v>
      </c>
      <c r="CQ5" s="141" t="s">
        <v>31</v>
      </c>
      <c r="CR5" s="141" t="s">
        <v>31</v>
      </c>
      <c r="CS5" s="155" t="s">
        <v>41</v>
      </c>
      <c r="CT5" s="141" t="s">
        <v>41</v>
      </c>
      <c r="CU5" s="497" t="s">
        <v>41</v>
      </c>
      <c r="CV5" s="141" t="s">
        <v>41</v>
      </c>
      <c r="CW5" s="141" t="s">
        <v>41</v>
      </c>
      <c r="CX5" s="497" t="s">
        <v>41</v>
      </c>
      <c r="CY5" s="141" t="s">
        <v>41</v>
      </c>
      <c r="CZ5" s="141" t="s">
        <v>41</v>
      </c>
      <c r="DA5" s="155" t="s">
        <v>42</v>
      </c>
      <c r="DB5" s="141" t="s">
        <v>42</v>
      </c>
      <c r="DC5" s="497" t="s">
        <v>42</v>
      </c>
      <c r="DD5" s="141" t="s">
        <v>42</v>
      </c>
      <c r="DE5" s="141" t="s">
        <v>42</v>
      </c>
      <c r="DF5" s="497" t="s">
        <v>42</v>
      </c>
      <c r="DG5" s="141" t="s">
        <v>42</v>
      </c>
      <c r="DH5" s="141" t="s">
        <v>42</v>
      </c>
      <c r="DI5" s="155" t="s">
        <v>43</v>
      </c>
      <c r="DJ5" s="141" t="s">
        <v>43</v>
      </c>
      <c r="DK5" s="497" t="s">
        <v>43</v>
      </c>
      <c r="DL5" s="141" t="s">
        <v>43</v>
      </c>
      <c r="DM5" s="141" t="s">
        <v>43</v>
      </c>
      <c r="DN5" s="497" t="s">
        <v>43</v>
      </c>
      <c r="DO5" s="141" t="s">
        <v>43</v>
      </c>
      <c r="DP5" s="141" t="s">
        <v>43</v>
      </c>
      <c r="DQ5" s="141" t="s">
        <v>43</v>
      </c>
      <c r="DR5" s="155" t="s">
        <v>44</v>
      </c>
      <c r="DS5" s="141" t="s">
        <v>44</v>
      </c>
      <c r="DT5" s="497" t="s">
        <v>44</v>
      </c>
      <c r="DU5" s="141" t="s">
        <v>44</v>
      </c>
      <c r="DV5" s="141" t="s">
        <v>44</v>
      </c>
      <c r="DW5" s="497" t="s">
        <v>44</v>
      </c>
      <c r="DX5" s="141" t="s">
        <v>44</v>
      </c>
      <c r="DY5" s="141" t="s">
        <v>44</v>
      </c>
      <c r="DZ5" s="155" t="s">
        <v>57</v>
      </c>
      <c r="EA5" s="141" t="s">
        <v>57</v>
      </c>
      <c r="EB5" s="144" t="s">
        <v>57</v>
      </c>
      <c r="EC5" s="141" t="s">
        <v>57</v>
      </c>
      <c r="ED5" s="141" t="s">
        <v>57</v>
      </c>
      <c r="EE5" s="144" t="s">
        <v>57</v>
      </c>
      <c r="EF5" s="146" t="s">
        <v>57</v>
      </c>
      <c r="EG5"/>
      <c r="EH5" s="660" t="s">
        <v>90</v>
      </c>
      <c r="EI5" s="661"/>
      <c r="EJ5" s="661"/>
      <c r="EK5" s="661"/>
      <c r="EL5" s="661"/>
      <c r="EM5" s="662"/>
      <c r="EN5" s="666" t="s">
        <v>91</v>
      </c>
      <c r="EO5" s="667"/>
      <c r="EP5" s="667"/>
      <c r="EQ5" s="667"/>
      <c r="ER5" s="667"/>
      <c r="ES5" s="667"/>
      <c r="ET5" s="660" t="s">
        <v>92</v>
      </c>
      <c r="EU5" s="661"/>
      <c r="EV5" s="661"/>
      <c r="EW5" s="661"/>
      <c r="EX5" s="661"/>
      <c r="EY5" s="662"/>
      <c r="EZ5" s="658" t="s">
        <v>88</v>
      </c>
      <c r="FA5" s="649" t="s">
        <v>190</v>
      </c>
      <c r="FB5" s="649" t="s">
        <v>335</v>
      </c>
      <c r="FC5" s="649" t="s">
        <v>314</v>
      </c>
      <c r="FD5" s="649" t="s">
        <v>315</v>
      </c>
      <c r="FE5" s="649" t="s">
        <v>191</v>
      </c>
      <c r="FF5" s="656" t="s">
        <v>76</v>
      </c>
      <c r="FG5" s="649" t="s">
        <v>346</v>
      </c>
      <c r="FH5" s="649" t="s">
        <v>347</v>
      </c>
      <c r="FI5" s="649" t="s">
        <v>344</v>
      </c>
      <c r="FJ5" s="649" t="s">
        <v>345</v>
      </c>
      <c r="FK5" s="649" t="s">
        <v>14</v>
      </c>
      <c r="FL5" s="649" t="s">
        <v>16</v>
      </c>
      <c r="FM5" s="649" t="s">
        <v>72</v>
      </c>
      <c r="FN5" s="649" t="s">
        <v>73</v>
      </c>
      <c r="FO5" s="654" t="s">
        <v>18</v>
      </c>
      <c r="FP5" s="649" t="s">
        <v>77</v>
      </c>
      <c r="FQ5" s="649" t="s">
        <v>192</v>
      </c>
      <c r="FR5" s="649" t="s">
        <v>336</v>
      </c>
      <c r="FS5" s="649" t="s">
        <v>28</v>
      </c>
      <c r="FT5" s="649" t="s">
        <v>29</v>
      </c>
      <c r="FU5" s="649" t="s">
        <v>31</v>
      </c>
      <c r="FV5" s="656" t="s">
        <v>78</v>
      </c>
      <c r="FW5" s="649" t="s">
        <v>41</v>
      </c>
      <c r="FX5" s="649" t="s">
        <v>337</v>
      </c>
      <c r="FY5" s="649" t="s">
        <v>42</v>
      </c>
      <c r="FZ5" s="649" t="s">
        <v>43</v>
      </c>
      <c r="GA5" s="654" t="s">
        <v>44</v>
      </c>
      <c r="GB5" s="651" t="s">
        <v>57</v>
      </c>
      <c r="GC5" s="649" t="s">
        <v>88</v>
      </c>
      <c r="GD5" s="649" t="s">
        <v>190</v>
      </c>
      <c r="GE5" s="649" t="s">
        <v>335</v>
      </c>
      <c r="GF5" s="649" t="s">
        <v>314</v>
      </c>
      <c r="GG5" s="649" t="s">
        <v>315</v>
      </c>
      <c r="GH5" s="649" t="s">
        <v>191</v>
      </c>
      <c r="GI5" s="656" t="s">
        <v>76</v>
      </c>
      <c r="GJ5" s="649" t="s">
        <v>346</v>
      </c>
      <c r="GK5" s="649" t="s">
        <v>347</v>
      </c>
      <c r="GL5" s="649" t="s">
        <v>344</v>
      </c>
      <c r="GM5" s="649" t="s">
        <v>345</v>
      </c>
      <c r="GN5" s="649" t="s">
        <v>14</v>
      </c>
      <c r="GO5" s="649" t="s">
        <v>16</v>
      </c>
      <c r="GP5" s="649" t="s">
        <v>72</v>
      </c>
      <c r="GQ5" s="649" t="s">
        <v>73</v>
      </c>
      <c r="GR5" s="654" t="s">
        <v>18</v>
      </c>
      <c r="GS5" s="649" t="s">
        <v>77</v>
      </c>
      <c r="GT5" s="649" t="s">
        <v>192</v>
      </c>
      <c r="GU5" s="649" t="s">
        <v>336</v>
      </c>
      <c r="GV5" s="649" t="s">
        <v>28</v>
      </c>
      <c r="GW5" s="649" t="s">
        <v>29</v>
      </c>
      <c r="GX5" s="649" t="s">
        <v>31</v>
      </c>
      <c r="GY5" s="656" t="s">
        <v>78</v>
      </c>
      <c r="GZ5" s="649" t="s">
        <v>41</v>
      </c>
      <c r="HA5" s="649" t="s">
        <v>337</v>
      </c>
      <c r="HB5" s="649" t="s">
        <v>42</v>
      </c>
      <c r="HC5" s="649" t="s">
        <v>43</v>
      </c>
      <c r="HD5" s="654" t="s">
        <v>44</v>
      </c>
      <c r="HE5" s="649" t="s">
        <v>57</v>
      </c>
      <c r="HF5" s="658" t="s">
        <v>88</v>
      </c>
      <c r="HG5" s="649" t="s">
        <v>190</v>
      </c>
      <c r="HH5" s="649" t="s">
        <v>335</v>
      </c>
      <c r="HI5" s="649" t="s">
        <v>314</v>
      </c>
      <c r="HJ5" s="649" t="s">
        <v>315</v>
      </c>
      <c r="HK5" s="649" t="s">
        <v>191</v>
      </c>
      <c r="HL5" s="656" t="s">
        <v>76</v>
      </c>
      <c r="HM5" s="649" t="s">
        <v>346</v>
      </c>
      <c r="HN5" s="649" t="s">
        <v>347</v>
      </c>
      <c r="HO5" s="649" t="s">
        <v>344</v>
      </c>
      <c r="HP5" s="649" t="s">
        <v>345</v>
      </c>
      <c r="HQ5" s="649" t="s">
        <v>14</v>
      </c>
      <c r="HR5" s="649" t="s">
        <v>16</v>
      </c>
      <c r="HS5" s="649" t="s">
        <v>72</v>
      </c>
      <c r="HT5" s="649" t="s">
        <v>73</v>
      </c>
      <c r="HU5" s="654" t="s">
        <v>18</v>
      </c>
      <c r="HV5" s="649" t="s">
        <v>77</v>
      </c>
      <c r="HW5" s="649" t="s">
        <v>192</v>
      </c>
      <c r="HX5" s="649" t="s">
        <v>336</v>
      </c>
      <c r="HY5" s="649" t="s">
        <v>28</v>
      </c>
      <c r="HZ5" s="649" t="s">
        <v>29</v>
      </c>
      <c r="IA5" s="649" t="s">
        <v>31</v>
      </c>
      <c r="IB5" s="656" t="s">
        <v>78</v>
      </c>
      <c r="IC5" s="649" t="s">
        <v>41</v>
      </c>
      <c r="ID5" s="649" t="s">
        <v>337</v>
      </c>
      <c r="IE5" s="649" t="s">
        <v>42</v>
      </c>
      <c r="IF5" s="649" t="s">
        <v>43</v>
      </c>
      <c r="IG5" s="654" t="s">
        <v>44</v>
      </c>
      <c r="IH5" s="651" t="s">
        <v>57</v>
      </c>
      <c r="II5"/>
      <c r="IJ5"/>
      <c r="IK5"/>
      <c r="IL5"/>
      <c r="IM5"/>
      <c r="IN5"/>
      <c r="IO5"/>
      <c r="IP5"/>
      <c r="IQ5"/>
      <c r="IR5"/>
      <c r="IS5"/>
      <c r="IT5"/>
      <c r="IU5"/>
      <c r="IV5"/>
    </row>
    <row r="6" spans="1:256" s="108" customFormat="1" ht="13.5" thickBot="1">
      <c r="A6" s="572"/>
      <c r="B6" s="573"/>
      <c r="C6" s="123"/>
      <c r="D6" s="573"/>
      <c r="E6" s="411"/>
      <c r="F6" s="411"/>
      <c r="G6" s="411"/>
      <c r="H6" s="411"/>
      <c r="I6" s="411"/>
      <c r="J6" s="411"/>
      <c r="K6" s="411"/>
      <c r="L6" s="412"/>
      <c r="M6" s="413"/>
      <c r="N6" s="414"/>
      <c r="O6" s="415"/>
      <c r="P6" s="417"/>
      <c r="Q6" s="417"/>
      <c r="R6" s="413"/>
      <c r="S6" s="414"/>
      <c r="T6" s="415"/>
      <c r="U6" s="417"/>
      <c r="V6" s="416"/>
      <c r="W6" s="413"/>
      <c r="X6" s="414"/>
      <c r="Y6" s="415"/>
      <c r="Z6" s="417"/>
      <c r="AA6" s="417"/>
      <c r="AB6" s="416"/>
      <c r="AC6" s="418"/>
      <c r="AD6" s="417"/>
      <c r="AE6" s="419"/>
      <c r="AF6" s="417"/>
      <c r="AG6" s="416"/>
      <c r="AH6" s="486"/>
      <c r="AI6" s="417"/>
      <c r="AJ6" s="417"/>
      <c r="AK6" s="416"/>
      <c r="AL6" s="486"/>
      <c r="AM6" s="417"/>
      <c r="AN6" s="417"/>
      <c r="AO6" s="416"/>
      <c r="AP6" s="418"/>
      <c r="AQ6" s="417"/>
      <c r="AR6" s="420"/>
      <c r="AS6" s="417"/>
      <c r="AT6" s="417"/>
      <c r="AU6" s="416"/>
      <c r="AV6" s="486"/>
      <c r="AW6" s="417"/>
      <c r="AX6" s="416"/>
      <c r="AY6" s="417"/>
      <c r="AZ6" s="417"/>
      <c r="BA6" s="420"/>
      <c r="BB6" s="417"/>
      <c r="BC6" s="418"/>
      <c r="BD6" s="417"/>
      <c r="BE6" s="420"/>
      <c r="BF6" s="417"/>
      <c r="BG6" s="416"/>
      <c r="BH6" s="418"/>
      <c r="BI6" s="417"/>
      <c r="BJ6" s="420"/>
      <c r="BK6" s="417"/>
      <c r="BL6" s="418"/>
      <c r="BM6" s="417"/>
      <c r="BN6" s="494"/>
      <c r="BO6" s="417"/>
      <c r="BP6" s="417"/>
      <c r="BQ6" s="494"/>
      <c r="BR6" s="417"/>
      <c r="BS6" s="417"/>
      <c r="BT6" s="418"/>
      <c r="BU6" s="417"/>
      <c r="BV6" s="494"/>
      <c r="BW6" s="417"/>
      <c r="BX6" s="417"/>
      <c r="BY6" s="494"/>
      <c r="BZ6" s="417"/>
      <c r="CA6" s="417"/>
      <c r="CB6" s="418"/>
      <c r="CC6" s="417"/>
      <c r="CD6" s="494"/>
      <c r="CE6" s="417"/>
      <c r="CF6" s="417"/>
      <c r="CG6" s="494"/>
      <c r="CH6" s="417"/>
      <c r="CI6" s="417"/>
      <c r="CJ6" s="417"/>
      <c r="CK6" s="418"/>
      <c r="CL6" s="417"/>
      <c r="CM6" s="494"/>
      <c r="CN6" s="417"/>
      <c r="CO6" s="417"/>
      <c r="CP6" s="494"/>
      <c r="CQ6" s="417"/>
      <c r="CR6" s="417"/>
      <c r="CS6" s="418"/>
      <c r="CT6" s="417"/>
      <c r="CU6" s="498"/>
      <c r="CV6" s="417"/>
      <c r="CW6" s="417"/>
      <c r="CX6" s="498"/>
      <c r="CY6" s="417"/>
      <c r="CZ6" s="417"/>
      <c r="DA6" s="418"/>
      <c r="DB6" s="417"/>
      <c r="DC6" s="498"/>
      <c r="DD6" s="417"/>
      <c r="DE6" s="417"/>
      <c r="DF6" s="498"/>
      <c r="DG6" s="417"/>
      <c r="DH6" s="417"/>
      <c r="DI6" s="418"/>
      <c r="DJ6" s="417"/>
      <c r="DK6" s="498"/>
      <c r="DL6" s="417"/>
      <c r="DM6" s="417"/>
      <c r="DN6" s="498"/>
      <c r="DO6" s="417"/>
      <c r="DP6" s="417"/>
      <c r="DQ6" s="417"/>
      <c r="DR6" s="418"/>
      <c r="DS6" s="417"/>
      <c r="DT6" s="498"/>
      <c r="DU6" s="417"/>
      <c r="DV6" s="417"/>
      <c r="DW6" s="498"/>
      <c r="DX6" s="417"/>
      <c r="DY6" s="417"/>
      <c r="DZ6" s="418"/>
      <c r="EA6" s="417"/>
      <c r="EB6" s="421"/>
      <c r="EC6" s="417"/>
      <c r="ED6" s="417"/>
      <c r="EE6" s="421"/>
      <c r="EF6" s="416"/>
      <c r="EG6" s="104"/>
      <c r="EH6" s="663"/>
      <c r="EI6" s="664"/>
      <c r="EJ6" s="664"/>
      <c r="EK6" s="664"/>
      <c r="EL6" s="664"/>
      <c r="EM6" s="665"/>
      <c r="EN6" s="664"/>
      <c r="EO6" s="664"/>
      <c r="EP6" s="664"/>
      <c r="EQ6" s="664"/>
      <c r="ER6" s="664"/>
      <c r="ES6" s="664"/>
      <c r="ET6" s="663"/>
      <c r="EU6" s="664"/>
      <c r="EV6" s="664"/>
      <c r="EW6" s="664"/>
      <c r="EX6" s="664"/>
      <c r="EY6" s="665"/>
      <c r="EZ6" s="659"/>
      <c r="FA6" s="653"/>
      <c r="FB6" s="653"/>
      <c r="FC6" s="653"/>
      <c r="FD6" s="653"/>
      <c r="FE6" s="653"/>
      <c r="FF6" s="657"/>
      <c r="FG6" s="653"/>
      <c r="FH6" s="653"/>
      <c r="FI6" s="653"/>
      <c r="FJ6" s="653"/>
      <c r="FK6" s="653"/>
      <c r="FL6" s="653"/>
      <c r="FM6" s="653"/>
      <c r="FN6" s="653"/>
      <c r="FO6" s="655"/>
      <c r="FP6" s="653"/>
      <c r="FQ6" s="653"/>
      <c r="FR6" s="650"/>
      <c r="FS6" s="653"/>
      <c r="FT6" s="653"/>
      <c r="FU6" s="653"/>
      <c r="FV6" s="657"/>
      <c r="FW6" s="653"/>
      <c r="FX6" s="650"/>
      <c r="FY6" s="653"/>
      <c r="FZ6" s="653"/>
      <c r="GA6" s="655"/>
      <c r="GB6" s="652"/>
      <c r="GC6" s="650"/>
      <c r="GD6" s="650"/>
      <c r="GE6" s="653"/>
      <c r="GF6" s="650"/>
      <c r="GG6" s="650"/>
      <c r="GH6" s="650"/>
      <c r="GI6" s="657"/>
      <c r="GJ6" s="653"/>
      <c r="GK6" s="653"/>
      <c r="GL6" s="653"/>
      <c r="GM6" s="653"/>
      <c r="GN6" s="653"/>
      <c r="GO6" s="653"/>
      <c r="GP6" s="653"/>
      <c r="GQ6" s="653"/>
      <c r="GR6" s="655"/>
      <c r="GS6" s="650"/>
      <c r="GT6" s="650"/>
      <c r="GU6" s="650"/>
      <c r="GV6" s="650"/>
      <c r="GW6" s="650"/>
      <c r="GX6" s="650"/>
      <c r="GY6" s="657"/>
      <c r="GZ6" s="653"/>
      <c r="HA6" s="650"/>
      <c r="HB6" s="653"/>
      <c r="HC6" s="653"/>
      <c r="HD6" s="655"/>
      <c r="HE6" s="650"/>
      <c r="HF6" s="659"/>
      <c r="HG6" s="653"/>
      <c r="HH6" s="653"/>
      <c r="HI6" s="653"/>
      <c r="HJ6" s="653"/>
      <c r="HK6" s="653"/>
      <c r="HL6" s="657"/>
      <c r="HM6" s="653"/>
      <c r="HN6" s="653"/>
      <c r="HO6" s="653"/>
      <c r="HP6" s="653"/>
      <c r="HQ6" s="653"/>
      <c r="HR6" s="653"/>
      <c r="HS6" s="653"/>
      <c r="HT6" s="653"/>
      <c r="HU6" s="655"/>
      <c r="HV6" s="653"/>
      <c r="HW6" s="653"/>
      <c r="HX6" s="650"/>
      <c r="HY6" s="653"/>
      <c r="HZ6" s="653"/>
      <c r="IA6" s="653"/>
      <c r="IB6" s="657"/>
      <c r="IC6" s="653"/>
      <c r="ID6" s="650"/>
      <c r="IE6" s="653"/>
      <c r="IF6" s="653"/>
      <c r="IG6" s="655"/>
      <c r="IH6" s="652"/>
      <c r="II6" s="105"/>
      <c r="IJ6" s="105"/>
      <c r="IK6" s="105"/>
      <c r="IL6" s="105"/>
      <c r="IM6" s="105"/>
      <c r="IN6" s="105"/>
      <c r="IO6" s="105"/>
      <c r="IP6" s="105"/>
      <c r="IQ6" s="105"/>
      <c r="IR6" s="105"/>
      <c r="IS6" s="105"/>
      <c r="IT6" s="105"/>
      <c r="IU6" s="105"/>
      <c r="IV6" s="105"/>
    </row>
    <row r="7" spans="1:242" s="108" customFormat="1" ht="102" thickBot="1">
      <c r="A7" s="574"/>
      <c r="B7" s="111"/>
      <c r="C7" s="128" t="s">
        <v>198</v>
      </c>
      <c r="D7" s="127" t="s">
        <v>197</v>
      </c>
      <c r="E7" s="125" t="s">
        <v>195</v>
      </c>
      <c r="F7" s="126" t="s">
        <v>194</v>
      </c>
      <c r="G7" s="127" t="s">
        <v>199</v>
      </c>
      <c r="H7" s="127" t="s">
        <v>200</v>
      </c>
      <c r="I7" s="127" t="s">
        <v>201</v>
      </c>
      <c r="J7" s="127" t="s">
        <v>202</v>
      </c>
      <c r="K7" s="127" t="s">
        <v>193</v>
      </c>
      <c r="L7" s="127" t="s">
        <v>203</v>
      </c>
      <c r="M7" s="147" t="s">
        <v>309</v>
      </c>
      <c r="N7" s="132" t="s">
        <v>310</v>
      </c>
      <c r="O7" s="148" t="s">
        <v>311</v>
      </c>
      <c r="P7" s="132" t="s">
        <v>312</v>
      </c>
      <c r="Q7" s="132" t="s">
        <v>313</v>
      </c>
      <c r="R7" s="147" t="s">
        <v>317</v>
      </c>
      <c r="S7" s="132" t="s">
        <v>318</v>
      </c>
      <c r="T7" s="148" t="s">
        <v>319</v>
      </c>
      <c r="U7" s="132" t="s">
        <v>312</v>
      </c>
      <c r="V7" s="133" t="s">
        <v>313</v>
      </c>
      <c r="W7" s="147" t="s">
        <v>320</v>
      </c>
      <c r="X7" s="132" t="s">
        <v>321</v>
      </c>
      <c r="Y7" s="148" t="s">
        <v>0</v>
      </c>
      <c r="Z7" s="132" t="s">
        <v>312</v>
      </c>
      <c r="AA7" s="132" t="s">
        <v>316</v>
      </c>
      <c r="AB7" s="133" t="s">
        <v>313</v>
      </c>
      <c r="AC7" s="147" t="s">
        <v>1</v>
      </c>
      <c r="AD7" s="132" t="s">
        <v>2</v>
      </c>
      <c r="AE7" s="134" t="s">
        <v>3</v>
      </c>
      <c r="AF7" s="132" t="s">
        <v>312</v>
      </c>
      <c r="AG7" s="133" t="s">
        <v>313</v>
      </c>
      <c r="AH7" s="487" t="s">
        <v>5</v>
      </c>
      <c r="AI7" s="135" t="s">
        <v>4</v>
      </c>
      <c r="AJ7" s="135" t="s">
        <v>6</v>
      </c>
      <c r="AK7" s="136" t="s">
        <v>7</v>
      </c>
      <c r="AL7" s="487" t="s">
        <v>8</v>
      </c>
      <c r="AM7" s="135" t="s">
        <v>9</v>
      </c>
      <c r="AN7" s="135" t="s">
        <v>10</v>
      </c>
      <c r="AO7" s="136" t="s">
        <v>7</v>
      </c>
      <c r="AP7" s="137" t="s">
        <v>11</v>
      </c>
      <c r="AQ7" s="135" t="s">
        <v>12</v>
      </c>
      <c r="AR7" s="156" t="s">
        <v>13</v>
      </c>
      <c r="AS7" s="135" t="s">
        <v>15</v>
      </c>
      <c r="AT7" s="135" t="s">
        <v>312</v>
      </c>
      <c r="AU7" s="136" t="s">
        <v>313</v>
      </c>
      <c r="AV7" s="487" t="s">
        <v>118</v>
      </c>
      <c r="AW7" s="135" t="s">
        <v>206</v>
      </c>
      <c r="AX7" s="136" t="s">
        <v>119</v>
      </c>
      <c r="AY7" s="135" t="s">
        <v>351</v>
      </c>
      <c r="AZ7" s="135" t="s">
        <v>349</v>
      </c>
      <c r="BA7" s="156" t="s">
        <v>350</v>
      </c>
      <c r="BB7" s="135" t="s">
        <v>19</v>
      </c>
      <c r="BC7" s="137" t="s">
        <v>20</v>
      </c>
      <c r="BD7" s="135" t="s">
        <v>21</v>
      </c>
      <c r="BE7" s="156" t="s">
        <v>22</v>
      </c>
      <c r="BF7" s="135" t="s">
        <v>312</v>
      </c>
      <c r="BG7" s="136" t="s">
        <v>313</v>
      </c>
      <c r="BH7" s="137" t="s">
        <v>338</v>
      </c>
      <c r="BI7" s="135" t="s">
        <v>339</v>
      </c>
      <c r="BJ7" s="156" t="s">
        <v>340</v>
      </c>
      <c r="BK7" s="135" t="s">
        <v>313</v>
      </c>
      <c r="BL7" s="489" t="s">
        <v>341</v>
      </c>
      <c r="BM7" s="490" t="s">
        <v>342</v>
      </c>
      <c r="BN7" s="495" t="s">
        <v>343</v>
      </c>
      <c r="BO7" s="490" t="s">
        <v>24</v>
      </c>
      <c r="BP7" s="490" t="s">
        <v>25</v>
      </c>
      <c r="BQ7" s="495" t="s">
        <v>26</v>
      </c>
      <c r="BR7" s="490" t="s">
        <v>312</v>
      </c>
      <c r="BS7" s="490" t="s">
        <v>27</v>
      </c>
      <c r="BT7" s="489" t="s">
        <v>32</v>
      </c>
      <c r="BU7" s="490" t="s">
        <v>33</v>
      </c>
      <c r="BV7" s="495" t="s">
        <v>34</v>
      </c>
      <c r="BW7" s="490" t="s">
        <v>24</v>
      </c>
      <c r="BX7" s="490" t="s">
        <v>25</v>
      </c>
      <c r="BY7" s="495" t="s">
        <v>26</v>
      </c>
      <c r="BZ7" s="490" t="s">
        <v>312</v>
      </c>
      <c r="CA7" s="490" t="s">
        <v>27</v>
      </c>
      <c r="CB7" s="489" t="s">
        <v>35</v>
      </c>
      <c r="CC7" s="490" t="s">
        <v>36</v>
      </c>
      <c r="CD7" s="495" t="s">
        <v>37</v>
      </c>
      <c r="CE7" s="490" t="s">
        <v>24</v>
      </c>
      <c r="CF7" s="490" t="s">
        <v>25</v>
      </c>
      <c r="CG7" s="495" t="s">
        <v>26</v>
      </c>
      <c r="CH7" s="490" t="s">
        <v>312</v>
      </c>
      <c r="CI7" s="490" t="s">
        <v>30</v>
      </c>
      <c r="CJ7" s="490" t="s">
        <v>27</v>
      </c>
      <c r="CK7" s="489" t="s">
        <v>38</v>
      </c>
      <c r="CL7" s="490" t="s">
        <v>39</v>
      </c>
      <c r="CM7" s="495" t="s">
        <v>40</v>
      </c>
      <c r="CN7" s="490" t="s">
        <v>24</v>
      </c>
      <c r="CO7" s="490" t="s">
        <v>25</v>
      </c>
      <c r="CP7" s="495" t="s">
        <v>26</v>
      </c>
      <c r="CQ7" s="490" t="s">
        <v>312</v>
      </c>
      <c r="CR7" s="490" t="s">
        <v>27</v>
      </c>
      <c r="CS7" s="489" t="s">
        <v>45</v>
      </c>
      <c r="CT7" s="490" t="s">
        <v>46</v>
      </c>
      <c r="CU7" s="499" t="s">
        <v>47</v>
      </c>
      <c r="CV7" s="490" t="s">
        <v>24</v>
      </c>
      <c r="CW7" s="490" t="s">
        <v>25</v>
      </c>
      <c r="CX7" s="499" t="s">
        <v>26</v>
      </c>
      <c r="CY7" s="490" t="s">
        <v>312</v>
      </c>
      <c r="CZ7" s="490" t="s">
        <v>27</v>
      </c>
      <c r="DA7" s="489" t="s">
        <v>48</v>
      </c>
      <c r="DB7" s="490" t="s">
        <v>49</v>
      </c>
      <c r="DC7" s="499" t="s">
        <v>50</v>
      </c>
      <c r="DD7" s="490" t="s">
        <v>24</v>
      </c>
      <c r="DE7" s="490" t="s">
        <v>25</v>
      </c>
      <c r="DF7" s="499" t="s">
        <v>26</v>
      </c>
      <c r="DG7" s="490" t="s">
        <v>312</v>
      </c>
      <c r="DH7" s="490" t="s">
        <v>27</v>
      </c>
      <c r="DI7" s="489" t="s">
        <v>51</v>
      </c>
      <c r="DJ7" s="490" t="s">
        <v>52</v>
      </c>
      <c r="DK7" s="499" t="s">
        <v>53</v>
      </c>
      <c r="DL7" s="490" t="s">
        <v>24</v>
      </c>
      <c r="DM7" s="490" t="s">
        <v>25</v>
      </c>
      <c r="DN7" s="499" t="s">
        <v>26</v>
      </c>
      <c r="DO7" s="490" t="s">
        <v>312</v>
      </c>
      <c r="DP7" s="490" t="s">
        <v>30</v>
      </c>
      <c r="DQ7" s="490" t="s">
        <v>27</v>
      </c>
      <c r="DR7" s="489" t="s">
        <v>54</v>
      </c>
      <c r="DS7" s="490" t="s">
        <v>55</v>
      </c>
      <c r="DT7" s="499" t="s">
        <v>56</v>
      </c>
      <c r="DU7" s="490" t="s">
        <v>24</v>
      </c>
      <c r="DV7" s="490" t="s">
        <v>25</v>
      </c>
      <c r="DW7" s="499" t="s">
        <v>26</v>
      </c>
      <c r="DX7" s="490" t="s">
        <v>312</v>
      </c>
      <c r="DY7" s="490" t="s">
        <v>27</v>
      </c>
      <c r="DZ7" s="137" t="s">
        <v>58</v>
      </c>
      <c r="EA7" s="135" t="s">
        <v>59</v>
      </c>
      <c r="EB7" s="160" t="s">
        <v>60</v>
      </c>
      <c r="EC7" s="135" t="s">
        <v>61</v>
      </c>
      <c r="ED7" s="135" t="s">
        <v>62</v>
      </c>
      <c r="EE7" s="160" t="s">
        <v>63</v>
      </c>
      <c r="EF7" s="136" t="s">
        <v>64</v>
      </c>
      <c r="EG7" s="112" t="s">
        <v>196</v>
      </c>
      <c r="EH7" s="422" t="s">
        <v>177</v>
      </c>
      <c r="EI7" s="423" t="s">
        <v>184</v>
      </c>
      <c r="EJ7" s="423" t="s">
        <v>185</v>
      </c>
      <c r="EK7" s="423" t="s">
        <v>186</v>
      </c>
      <c r="EL7" s="423" t="s">
        <v>187</v>
      </c>
      <c r="EM7" s="424" t="s">
        <v>89</v>
      </c>
      <c r="EN7" s="514" t="s">
        <v>177</v>
      </c>
      <c r="EO7" s="423" t="s">
        <v>184</v>
      </c>
      <c r="EP7" s="423" t="s">
        <v>185</v>
      </c>
      <c r="EQ7" s="423" t="s">
        <v>186</v>
      </c>
      <c r="ER7" s="423" t="s">
        <v>187</v>
      </c>
      <c r="ES7" s="423" t="s">
        <v>89</v>
      </c>
      <c r="ET7" s="422" t="s">
        <v>177</v>
      </c>
      <c r="EU7" s="423" t="s">
        <v>184</v>
      </c>
      <c r="EV7" s="423" t="s">
        <v>185</v>
      </c>
      <c r="EW7" s="423" t="s">
        <v>186</v>
      </c>
      <c r="EX7" s="423" t="s">
        <v>187</v>
      </c>
      <c r="EY7" s="424" t="s">
        <v>89</v>
      </c>
      <c r="EZ7" s="113"/>
      <c r="FA7" s="114" t="s">
        <v>65</v>
      </c>
      <c r="FB7" s="114"/>
      <c r="FC7" s="114" t="s">
        <v>66</v>
      </c>
      <c r="FD7" s="114" t="s">
        <v>67</v>
      </c>
      <c r="FE7" s="163" t="s">
        <v>68</v>
      </c>
      <c r="FF7" s="114"/>
      <c r="FG7" s="114"/>
      <c r="FH7" s="114"/>
      <c r="FI7" s="114" t="s">
        <v>120</v>
      </c>
      <c r="FJ7" s="114" t="s">
        <v>74</v>
      </c>
      <c r="FK7" s="114" t="s">
        <v>69</v>
      </c>
      <c r="FL7" s="114" t="s">
        <v>70</v>
      </c>
      <c r="FM7" s="114" t="s">
        <v>71</v>
      </c>
      <c r="FN7" s="114" t="s">
        <v>75</v>
      </c>
      <c r="FO7" s="163" t="s">
        <v>121</v>
      </c>
      <c r="FP7" s="114"/>
      <c r="FQ7" s="114" t="s">
        <v>79</v>
      </c>
      <c r="FR7" s="114"/>
      <c r="FS7" s="114" t="s">
        <v>80</v>
      </c>
      <c r="FT7" s="114" t="s">
        <v>81</v>
      </c>
      <c r="FU7" s="163" t="s">
        <v>82</v>
      </c>
      <c r="FV7" s="114"/>
      <c r="FW7" s="114" t="s">
        <v>83</v>
      </c>
      <c r="FX7" s="114"/>
      <c r="FY7" s="114" t="s">
        <v>84</v>
      </c>
      <c r="FZ7" s="114" t="s">
        <v>85</v>
      </c>
      <c r="GA7" s="163" t="s">
        <v>86</v>
      </c>
      <c r="GB7" s="115" t="s">
        <v>87</v>
      </c>
      <c r="GC7" s="114"/>
      <c r="GD7" s="114" t="s">
        <v>65</v>
      </c>
      <c r="GE7" s="114"/>
      <c r="GF7" s="114" t="s">
        <v>66</v>
      </c>
      <c r="GG7" s="114" t="s">
        <v>67</v>
      </c>
      <c r="GH7" s="163" t="s">
        <v>68</v>
      </c>
      <c r="GI7" s="114"/>
      <c r="GJ7" s="114"/>
      <c r="GK7" s="114"/>
      <c r="GL7" s="114" t="s">
        <v>120</v>
      </c>
      <c r="GM7" s="114" t="s">
        <v>74</v>
      </c>
      <c r="GN7" s="114" t="s">
        <v>69</v>
      </c>
      <c r="GO7" s="114" t="s">
        <v>70</v>
      </c>
      <c r="GP7" s="114" t="s">
        <v>71</v>
      </c>
      <c r="GQ7" s="114" t="s">
        <v>75</v>
      </c>
      <c r="GR7" s="163" t="s">
        <v>121</v>
      </c>
      <c r="GS7" s="114"/>
      <c r="GT7" s="114" t="s">
        <v>79</v>
      </c>
      <c r="GU7" s="114"/>
      <c r="GV7" s="114" t="s">
        <v>80</v>
      </c>
      <c r="GW7" s="114" t="s">
        <v>81</v>
      </c>
      <c r="GX7" s="163" t="s">
        <v>82</v>
      </c>
      <c r="GY7" s="114"/>
      <c r="GZ7" s="114" t="s">
        <v>83</v>
      </c>
      <c r="HA7" s="114"/>
      <c r="HB7" s="114" t="s">
        <v>84</v>
      </c>
      <c r="HC7" s="114" t="s">
        <v>85</v>
      </c>
      <c r="HD7" s="163" t="s">
        <v>86</v>
      </c>
      <c r="HE7" s="114" t="s">
        <v>87</v>
      </c>
      <c r="HF7" s="113"/>
      <c r="HG7" s="114" t="s">
        <v>65</v>
      </c>
      <c r="HH7" s="114"/>
      <c r="HI7" s="114" t="s">
        <v>66</v>
      </c>
      <c r="HJ7" s="114" t="s">
        <v>67</v>
      </c>
      <c r="HK7" s="163" t="s">
        <v>68</v>
      </c>
      <c r="HL7" s="114"/>
      <c r="HM7" s="114"/>
      <c r="HN7" s="114"/>
      <c r="HO7" s="114" t="s">
        <v>120</v>
      </c>
      <c r="HP7" s="114" t="s">
        <v>74</v>
      </c>
      <c r="HQ7" s="114" t="s">
        <v>69</v>
      </c>
      <c r="HR7" s="114" t="s">
        <v>70</v>
      </c>
      <c r="HS7" s="114" t="s">
        <v>71</v>
      </c>
      <c r="HT7" s="114" t="s">
        <v>75</v>
      </c>
      <c r="HU7" s="163" t="s">
        <v>121</v>
      </c>
      <c r="HV7" s="114"/>
      <c r="HW7" s="114" t="s">
        <v>79</v>
      </c>
      <c r="HX7" s="114"/>
      <c r="HY7" s="114" t="s">
        <v>80</v>
      </c>
      <c r="HZ7" s="114" t="s">
        <v>81</v>
      </c>
      <c r="IA7" s="163" t="s">
        <v>82</v>
      </c>
      <c r="IB7" s="114"/>
      <c r="IC7" s="114" t="s">
        <v>83</v>
      </c>
      <c r="ID7" s="114"/>
      <c r="IE7" s="114" t="s">
        <v>84</v>
      </c>
      <c r="IF7" s="114" t="s">
        <v>85</v>
      </c>
      <c r="IG7" s="163" t="s">
        <v>86</v>
      </c>
      <c r="IH7" s="115" t="s">
        <v>87</v>
      </c>
    </row>
    <row r="8" spans="2:256" ht="15" customHeight="1">
      <c r="B8" s="117"/>
      <c r="C8" s="118"/>
      <c r="D8" s="119"/>
      <c r="E8" s="408"/>
      <c r="F8" s="119"/>
      <c r="G8" s="119"/>
      <c r="H8" s="119"/>
      <c r="I8" s="119"/>
      <c r="J8" s="119"/>
      <c r="K8" s="119"/>
      <c r="L8" s="119"/>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61"/>
      <c r="EG8" s="504"/>
      <c r="FR8" s="108"/>
      <c r="FX8" s="108"/>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08"/>
      <c r="HG8" s="108"/>
      <c r="HI8" s="108"/>
      <c r="HJ8" s="108"/>
      <c r="HK8" s="108"/>
      <c r="HL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c r="IR8" s="108"/>
      <c r="IS8" s="108"/>
      <c r="IT8" s="108"/>
      <c r="IU8" s="108"/>
      <c r="IV8" s="108"/>
    </row>
    <row r="9" spans="1:256" ht="15" customHeight="1">
      <c r="A9" s="593">
        <f>A8+1</f>
        <v>1</v>
      </c>
      <c r="B9" s="117"/>
      <c r="C9" s="121" t="s">
        <v>357</v>
      </c>
      <c r="D9" s="122" t="s">
        <v>358</v>
      </c>
      <c r="E9" s="592">
        <v>41054</v>
      </c>
      <c r="F9" s="122" t="s">
        <v>359</v>
      </c>
      <c r="G9" s="122" t="s">
        <v>360</v>
      </c>
      <c r="H9" s="122" t="s">
        <v>361</v>
      </c>
      <c r="I9" s="122" t="s">
        <v>362</v>
      </c>
      <c r="J9" s="122" t="s">
        <v>363</v>
      </c>
      <c r="K9" s="122" t="s">
        <v>144</v>
      </c>
      <c r="L9" s="122" t="s">
        <v>297</v>
      </c>
      <c r="M9" s="122">
        <v>1</v>
      </c>
      <c r="N9" s="122">
        <v>2</v>
      </c>
      <c r="O9" s="122">
        <v>3</v>
      </c>
      <c r="P9" s="122" t="s">
        <v>155</v>
      </c>
      <c r="Q9" s="122">
        <v>4</v>
      </c>
      <c r="R9" s="122">
        <v>5</v>
      </c>
      <c r="S9" s="122">
        <v>6</v>
      </c>
      <c r="T9" s="122">
        <v>7</v>
      </c>
      <c r="U9" s="122" t="s">
        <v>158</v>
      </c>
      <c r="V9" s="122">
        <v>8</v>
      </c>
      <c r="W9" s="122">
        <v>9</v>
      </c>
      <c r="X9" s="122">
        <v>10</v>
      </c>
      <c r="Y9" s="122">
        <v>11</v>
      </c>
      <c r="Z9" s="122" t="s">
        <v>157</v>
      </c>
      <c r="AA9" s="122">
        <v>12</v>
      </c>
      <c r="AB9" s="122">
        <v>13</v>
      </c>
      <c r="AC9" s="122">
        <v>14</v>
      </c>
      <c r="AD9" s="122">
        <v>15</v>
      </c>
      <c r="AE9" s="122">
        <v>16</v>
      </c>
      <c r="AF9" s="122" t="s">
        <v>155</v>
      </c>
      <c r="AG9" s="122">
        <v>17</v>
      </c>
      <c r="AH9" s="122">
        <v>18</v>
      </c>
      <c r="AI9" s="122">
        <v>19</v>
      </c>
      <c r="AJ9" s="122">
        <v>20</v>
      </c>
      <c r="AK9" s="122">
        <v>21</v>
      </c>
      <c r="AL9" s="122">
        <v>22</v>
      </c>
      <c r="AM9" s="122">
        <v>23</v>
      </c>
      <c r="AN9" s="122">
        <v>24</v>
      </c>
      <c r="AO9" s="122">
        <v>25</v>
      </c>
      <c r="AP9" s="122">
        <v>0.1</v>
      </c>
      <c r="AQ9" s="122">
        <v>0.2</v>
      </c>
      <c r="AR9" s="122">
        <v>0.3</v>
      </c>
      <c r="AS9" s="122" t="s">
        <v>305</v>
      </c>
      <c r="AT9" s="122" t="s">
        <v>157</v>
      </c>
      <c r="AU9" s="122">
        <v>26</v>
      </c>
      <c r="AV9" s="122">
        <v>27</v>
      </c>
      <c r="AW9" s="122">
        <v>28</v>
      </c>
      <c r="AX9" s="122">
        <v>29</v>
      </c>
      <c r="AY9" s="122">
        <v>0.4</v>
      </c>
      <c r="AZ9" s="122">
        <v>0.5</v>
      </c>
      <c r="BA9" s="122">
        <v>0.6</v>
      </c>
      <c r="BB9" s="122">
        <v>30</v>
      </c>
      <c r="BC9" s="122">
        <v>0.7</v>
      </c>
      <c r="BD9" s="122">
        <v>0.8</v>
      </c>
      <c r="BE9" s="122">
        <v>0.9</v>
      </c>
      <c r="BF9" s="122" t="s">
        <v>155</v>
      </c>
      <c r="BG9" s="122">
        <v>31</v>
      </c>
      <c r="BH9" s="122">
        <v>0</v>
      </c>
      <c r="BI9" s="122">
        <v>0.5</v>
      </c>
      <c r="BJ9" s="122">
        <v>1</v>
      </c>
      <c r="BK9" s="122">
        <v>32</v>
      </c>
      <c r="BL9" s="122">
        <v>33</v>
      </c>
      <c r="BM9" s="122">
        <v>34</v>
      </c>
      <c r="BN9" s="122">
        <v>35</v>
      </c>
      <c r="BO9" s="122">
        <v>36</v>
      </c>
      <c r="BP9" s="122">
        <v>37</v>
      </c>
      <c r="BQ9" s="122">
        <v>38</v>
      </c>
      <c r="BR9" s="122" t="s">
        <v>156</v>
      </c>
      <c r="BS9" s="122">
        <v>39</v>
      </c>
      <c r="BT9" s="122">
        <v>40</v>
      </c>
      <c r="BU9" s="122">
        <v>41</v>
      </c>
      <c r="BV9" s="122">
        <v>42</v>
      </c>
      <c r="BW9" s="122">
        <v>43</v>
      </c>
      <c r="BX9" s="122">
        <v>44</v>
      </c>
      <c r="BY9" s="122">
        <v>45</v>
      </c>
      <c r="BZ9" s="122" t="s">
        <v>158</v>
      </c>
      <c r="CA9" s="122">
        <v>46</v>
      </c>
      <c r="CB9" s="122">
        <v>47</v>
      </c>
      <c r="CC9" s="122">
        <v>48</v>
      </c>
      <c r="CD9" s="122">
        <v>49</v>
      </c>
      <c r="CE9" s="122">
        <v>50</v>
      </c>
      <c r="CF9" s="122">
        <v>51</v>
      </c>
      <c r="CG9" s="122">
        <v>52</v>
      </c>
      <c r="CH9" s="122" t="s">
        <v>157</v>
      </c>
      <c r="CI9" s="122">
        <v>53</v>
      </c>
      <c r="CJ9" s="122">
        <v>54</v>
      </c>
      <c r="CK9" s="122">
        <v>55</v>
      </c>
      <c r="CL9" s="122">
        <v>56</v>
      </c>
      <c r="CM9" s="122">
        <v>57</v>
      </c>
      <c r="CN9" s="122">
        <v>58</v>
      </c>
      <c r="CO9" s="122">
        <v>59</v>
      </c>
      <c r="CP9" s="122">
        <v>60</v>
      </c>
      <c r="CQ9" s="122" t="s">
        <v>155</v>
      </c>
      <c r="CR9" s="122">
        <v>61</v>
      </c>
      <c r="CS9" s="122">
        <v>62</v>
      </c>
      <c r="CT9" s="122">
        <v>63</v>
      </c>
      <c r="CU9" s="122">
        <v>64</v>
      </c>
      <c r="CV9" s="122">
        <v>65</v>
      </c>
      <c r="CW9" s="122">
        <v>66</v>
      </c>
      <c r="CX9" s="122">
        <v>67</v>
      </c>
      <c r="CY9" s="122" t="s">
        <v>156</v>
      </c>
      <c r="CZ9" s="122">
        <v>68</v>
      </c>
      <c r="DA9" s="122">
        <v>69</v>
      </c>
      <c r="DB9" s="122">
        <v>70</v>
      </c>
      <c r="DC9" s="122">
        <v>71</v>
      </c>
      <c r="DD9" s="122">
        <v>72</v>
      </c>
      <c r="DE9" s="122">
        <v>73</v>
      </c>
      <c r="DF9" s="122">
        <v>74</v>
      </c>
      <c r="DG9" s="122" t="s">
        <v>158</v>
      </c>
      <c r="DH9" s="122">
        <v>75</v>
      </c>
      <c r="DI9" s="122">
        <v>76</v>
      </c>
      <c r="DJ9" s="122">
        <v>77</v>
      </c>
      <c r="DK9" s="122">
        <v>78</v>
      </c>
      <c r="DL9" s="122">
        <v>79</v>
      </c>
      <c r="DM9" s="122">
        <v>80</v>
      </c>
      <c r="DN9" s="122">
        <v>81</v>
      </c>
      <c r="DO9" s="122" t="s">
        <v>157</v>
      </c>
      <c r="DP9" s="122">
        <v>82</v>
      </c>
      <c r="DQ9" s="122">
        <v>83</v>
      </c>
      <c r="DR9" s="122">
        <v>84</v>
      </c>
      <c r="DS9" s="122">
        <v>85</v>
      </c>
      <c r="DT9" s="122">
        <v>86</v>
      </c>
      <c r="DU9" s="122">
        <v>87</v>
      </c>
      <c r="DV9" s="122">
        <v>88</v>
      </c>
      <c r="DW9" s="122">
        <v>89</v>
      </c>
      <c r="DX9" s="122" t="s">
        <v>155</v>
      </c>
      <c r="DY9" s="122">
        <v>90</v>
      </c>
      <c r="DZ9" s="122">
        <v>91</v>
      </c>
      <c r="EA9" s="122">
        <v>92</v>
      </c>
      <c r="EB9" s="122">
        <v>93</v>
      </c>
      <c r="EC9" s="122">
        <v>94</v>
      </c>
      <c r="ED9" s="122">
        <v>95</v>
      </c>
      <c r="EE9" s="122">
        <v>96</v>
      </c>
      <c r="EF9" s="162">
        <v>97</v>
      </c>
      <c r="EG9" s="504"/>
      <c r="FR9" s="108"/>
      <c r="FX9" s="108"/>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08"/>
      <c r="HG9" s="108"/>
      <c r="HI9" s="108"/>
      <c r="HJ9" s="108"/>
      <c r="HK9" s="108"/>
      <c r="HL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c r="IR9" s="108"/>
      <c r="IS9" s="108"/>
      <c r="IT9" s="108"/>
      <c r="IU9" s="108"/>
      <c r="IV9" s="108"/>
    </row>
    <row r="10" spans="1:256" ht="15" customHeight="1">
      <c r="A10" s="593">
        <f>A9+1</f>
        <v>2</v>
      </c>
      <c r="B10" s="117"/>
      <c r="C10" s="121" t="s">
        <v>369</v>
      </c>
      <c r="D10" s="122" t="s">
        <v>358</v>
      </c>
      <c r="E10" s="592">
        <v>41054</v>
      </c>
      <c r="F10" s="122" t="s">
        <v>359</v>
      </c>
      <c r="G10" s="122" t="s">
        <v>360</v>
      </c>
      <c r="H10" s="122" t="s">
        <v>361</v>
      </c>
      <c r="I10" s="122" t="s">
        <v>362</v>
      </c>
      <c r="J10" s="122" t="s">
        <v>363</v>
      </c>
      <c r="K10" s="122" t="s">
        <v>144</v>
      </c>
      <c r="L10" s="122" t="s">
        <v>297</v>
      </c>
      <c r="M10" s="122">
        <v>1</v>
      </c>
      <c r="N10" s="122">
        <v>2</v>
      </c>
      <c r="O10" s="122">
        <v>3</v>
      </c>
      <c r="P10" s="122" t="s">
        <v>155</v>
      </c>
      <c r="Q10" s="122">
        <v>4</v>
      </c>
      <c r="R10" s="122">
        <v>5</v>
      </c>
      <c r="S10" s="122">
        <v>6</v>
      </c>
      <c r="T10" s="122">
        <v>7</v>
      </c>
      <c r="U10" s="122" t="s">
        <v>158</v>
      </c>
      <c r="V10" s="122">
        <v>8</v>
      </c>
      <c r="W10" s="122">
        <v>9</v>
      </c>
      <c r="X10" s="122">
        <v>10</v>
      </c>
      <c r="Y10" s="122">
        <v>11</v>
      </c>
      <c r="Z10" s="122" t="s">
        <v>157</v>
      </c>
      <c r="AA10" s="122">
        <v>12</v>
      </c>
      <c r="AB10" s="122">
        <v>13</v>
      </c>
      <c r="AC10" s="122">
        <v>14</v>
      </c>
      <c r="AD10" s="122">
        <v>15</v>
      </c>
      <c r="AE10" s="122">
        <v>16</v>
      </c>
      <c r="AF10" s="122" t="s">
        <v>155</v>
      </c>
      <c r="AG10" s="122">
        <v>17</v>
      </c>
      <c r="AH10" s="122">
        <v>44000</v>
      </c>
      <c r="AI10" s="122">
        <v>45000</v>
      </c>
      <c r="AJ10" s="122">
        <v>50000</v>
      </c>
      <c r="AK10" s="122">
        <v>21</v>
      </c>
      <c r="AL10" s="122">
        <v>60</v>
      </c>
      <c r="AM10" s="122">
        <v>70</v>
      </c>
      <c r="AN10" s="122">
        <v>80</v>
      </c>
      <c r="AO10" s="122">
        <v>25</v>
      </c>
      <c r="AP10" s="122">
        <v>0.1</v>
      </c>
      <c r="AQ10" s="122">
        <v>0.2</v>
      </c>
      <c r="AR10" s="122">
        <v>0.3</v>
      </c>
      <c r="AS10" s="122" t="s">
        <v>305</v>
      </c>
      <c r="AT10" s="122" t="s">
        <v>157</v>
      </c>
      <c r="AU10" s="122">
        <v>26</v>
      </c>
      <c r="AV10" s="122">
        <v>27</v>
      </c>
      <c r="AW10" s="122">
        <v>28</v>
      </c>
      <c r="AX10" s="122">
        <v>29</v>
      </c>
      <c r="AY10" s="122">
        <v>0</v>
      </c>
      <c r="AZ10" s="122">
        <v>0</v>
      </c>
      <c r="BA10" s="122">
        <v>0</v>
      </c>
      <c r="BB10" s="122">
        <v>30</v>
      </c>
      <c r="BC10" s="122">
        <v>0.7</v>
      </c>
      <c r="BD10" s="122">
        <v>0.8</v>
      </c>
      <c r="BE10" s="122">
        <v>0.9</v>
      </c>
      <c r="BF10" s="122" t="s">
        <v>155</v>
      </c>
      <c r="BG10" s="122">
        <v>31</v>
      </c>
      <c r="BH10" s="122">
        <v>0</v>
      </c>
      <c r="BI10" s="122">
        <v>0.5</v>
      </c>
      <c r="BJ10" s="122">
        <v>1</v>
      </c>
      <c r="BK10" s="122">
        <v>32</v>
      </c>
      <c r="BL10" s="122">
        <v>33</v>
      </c>
      <c r="BM10" s="122">
        <v>34</v>
      </c>
      <c r="BN10" s="122">
        <v>35</v>
      </c>
      <c r="BO10" s="122">
        <v>36</v>
      </c>
      <c r="BP10" s="122">
        <v>37</v>
      </c>
      <c r="BQ10" s="122">
        <v>38</v>
      </c>
      <c r="BR10" s="122" t="s">
        <v>156</v>
      </c>
      <c r="BS10" s="122">
        <v>39</v>
      </c>
      <c r="BT10" s="122">
        <v>40</v>
      </c>
      <c r="BU10" s="122">
        <v>41</v>
      </c>
      <c r="BV10" s="122">
        <v>42</v>
      </c>
      <c r="BW10" s="122">
        <v>43</v>
      </c>
      <c r="BX10" s="122">
        <v>44</v>
      </c>
      <c r="BY10" s="122">
        <v>45</v>
      </c>
      <c r="BZ10" s="122" t="s">
        <v>158</v>
      </c>
      <c r="CA10" s="122">
        <v>46</v>
      </c>
      <c r="CB10" s="122">
        <v>47</v>
      </c>
      <c r="CC10" s="122">
        <v>48</v>
      </c>
      <c r="CD10" s="122">
        <v>49</v>
      </c>
      <c r="CE10" s="122">
        <v>50</v>
      </c>
      <c r="CF10" s="122">
        <v>51</v>
      </c>
      <c r="CG10" s="122">
        <v>52</v>
      </c>
      <c r="CH10" s="122" t="s">
        <v>157</v>
      </c>
      <c r="CI10" s="122">
        <v>53</v>
      </c>
      <c r="CJ10" s="122">
        <v>54</v>
      </c>
      <c r="CK10" s="122">
        <v>55</v>
      </c>
      <c r="CL10" s="122">
        <v>56</v>
      </c>
      <c r="CM10" s="122">
        <v>57</v>
      </c>
      <c r="CN10" s="122">
        <v>58</v>
      </c>
      <c r="CO10" s="122">
        <v>59</v>
      </c>
      <c r="CP10" s="122">
        <v>60</v>
      </c>
      <c r="CQ10" s="122" t="s">
        <v>155</v>
      </c>
      <c r="CR10" s="122">
        <v>61</v>
      </c>
      <c r="CS10" s="122">
        <v>62</v>
      </c>
      <c r="CT10" s="122">
        <v>63</v>
      </c>
      <c r="CU10" s="122">
        <v>64</v>
      </c>
      <c r="CV10" s="122">
        <v>65</v>
      </c>
      <c r="CW10" s="122">
        <v>66</v>
      </c>
      <c r="CX10" s="122">
        <v>67</v>
      </c>
      <c r="CY10" s="122" t="s">
        <v>156</v>
      </c>
      <c r="CZ10" s="122">
        <v>68</v>
      </c>
      <c r="DA10" s="122">
        <v>69</v>
      </c>
      <c r="DB10" s="122">
        <v>70</v>
      </c>
      <c r="DC10" s="122">
        <v>71</v>
      </c>
      <c r="DD10" s="122">
        <v>72</v>
      </c>
      <c r="DE10" s="122">
        <v>73</v>
      </c>
      <c r="DF10" s="122">
        <v>74</v>
      </c>
      <c r="DG10" s="122" t="s">
        <v>158</v>
      </c>
      <c r="DH10" s="122">
        <v>75</v>
      </c>
      <c r="DI10" s="122">
        <v>76</v>
      </c>
      <c r="DJ10" s="122">
        <v>77</v>
      </c>
      <c r="DK10" s="122">
        <v>78</v>
      </c>
      <c r="DL10" s="122">
        <v>79</v>
      </c>
      <c r="DM10" s="122">
        <v>80</v>
      </c>
      <c r="DN10" s="122">
        <v>81</v>
      </c>
      <c r="DO10" s="122" t="s">
        <v>157</v>
      </c>
      <c r="DP10" s="122">
        <v>82</v>
      </c>
      <c r="DQ10" s="122">
        <v>83</v>
      </c>
      <c r="DR10" s="122">
        <v>84</v>
      </c>
      <c r="DS10" s="122">
        <v>85</v>
      </c>
      <c r="DT10" s="122">
        <v>86</v>
      </c>
      <c r="DU10" s="122">
        <v>87</v>
      </c>
      <c r="DV10" s="122">
        <v>88</v>
      </c>
      <c r="DW10" s="122">
        <v>89</v>
      </c>
      <c r="DX10" s="122" t="s">
        <v>155</v>
      </c>
      <c r="DY10" s="122">
        <v>90</v>
      </c>
      <c r="DZ10" s="122">
        <v>91</v>
      </c>
      <c r="EA10" s="122">
        <v>92</v>
      </c>
      <c r="EB10" s="122">
        <v>93</v>
      </c>
      <c r="EC10" s="122">
        <v>94</v>
      </c>
      <c r="ED10" s="122">
        <v>95</v>
      </c>
      <c r="EE10" s="122">
        <v>96</v>
      </c>
      <c r="EF10" s="162">
        <v>97</v>
      </c>
      <c r="EG10" s="504"/>
      <c r="FR10" s="108"/>
      <c r="FX10" s="108"/>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08"/>
      <c r="HG10" s="108"/>
      <c r="HI10" s="108"/>
      <c r="HJ10" s="108"/>
      <c r="HK10" s="108"/>
      <c r="HL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c r="IR10" s="108"/>
      <c r="IS10" s="108"/>
      <c r="IT10" s="108"/>
      <c r="IU10" s="108"/>
      <c r="IV10" s="108"/>
    </row>
    <row r="11" spans="1:256" s="116" customFormat="1" ht="13.5" thickBot="1">
      <c r="A11" s="575"/>
      <c r="B11" s="117"/>
      <c r="C11" s="121"/>
      <c r="D11" s="122"/>
      <c r="E11" s="409"/>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62"/>
      <c r="EG11" s="110"/>
      <c r="EK11"/>
      <c r="EL11"/>
      <c r="EM11"/>
      <c r="EN11"/>
      <c r="EO11"/>
      <c r="EP11"/>
      <c r="EQ11"/>
      <c r="ER11"/>
      <c r="ES11"/>
      <c r="ET11"/>
      <c r="EU11"/>
      <c r="EV11"/>
      <c r="EW11"/>
      <c r="EX11"/>
      <c r="EY11"/>
      <c r="HF11" s="108"/>
      <c r="HG11" s="108"/>
      <c r="HI11" s="108"/>
      <c r="HJ11" s="108"/>
      <c r="HK11" s="108"/>
      <c r="HL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c r="IR11" s="108"/>
      <c r="IS11" s="108"/>
      <c r="IT11" s="108"/>
      <c r="IU11" s="108"/>
      <c r="IV11" s="108"/>
    </row>
    <row r="12" spans="1:256" s="116" customFormat="1" ht="13.5" thickBot="1">
      <c r="A12" s="426"/>
      <c r="B12" s="102"/>
      <c r="C12" s="103" t="s">
        <v>188</v>
      </c>
      <c r="D12" s="102"/>
      <c r="E12" s="102"/>
      <c r="F12" s="102"/>
      <c r="G12" s="102"/>
      <c r="H12" s="102"/>
      <c r="I12" s="102"/>
      <c r="J12" s="102"/>
      <c r="K12" s="102"/>
      <c r="L12" s="102"/>
      <c r="M12" s="103"/>
      <c r="N12" s="103"/>
      <c r="O12" s="103" t="s">
        <v>188</v>
      </c>
      <c r="P12" s="102"/>
      <c r="Q12" s="102"/>
      <c r="R12" s="102"/>
      <c r="S12" s="102"/>
      <c r="T12" s="102"/>
      <c r="U12" s="102"/>
      <c r="V12" s="102"/>
      <c r="W12" s="102"/>
      <c r="X12" s="102"/>
      <c r="Y12" s="103"/>
      <c r="Z12" s="103"/>
      <c r="AA12" s="103" t="s">
        <v>188</v>
      </c>
      <c r="AB12" s="102"/>
      <c r="AC12" s="103"/>
      <c r="AD12" s="102"/>
      <c r="AE12" s="102"/>
      <c r="AF12" s="102"/>
      <c r="AG12" s="102"/>
      <c r="AH12" s="103"/>
      <c r="AI12" s="102"/>
      <c r="AJ12" s="102"/>
      <c r="AK12" s="102"/>
      <c r="AL12" s="103" t="s">
        <v>188</v>
      </c>
      <c r="AM12" s="102"/>
      <c r="AN12" s="102"/>
      <c r="AO12" s="102"/>
      <c r="AP12" s="102"/>
      <c r="AQ12" s="102"/>
      <c r="AR12" s="102"/>
      <c r="AS12" s="102"/>
      <c r="AT12" s="102"/>
      <c r="AU12" s="102"/>
      <c r="AV12" s="103" t="s">
        <v>188</v>
      </c>
      <c r="AW12" s="102"/>
      <c r="AX12" s="102"/>
      <c r="AY12" s="102"/>
      <c r="AZ12" s="102"/>
      <c r="BA12" s="102"/>
      <c r="BB12" s="102"/>
      <c r="BC12" s="102"/>
      <c r="BD12" s="102"/>
      <c r="BE12" s="102"/>
      <c r="BF12" s="103" t="s">
        <v>188</v>
      </c>
      <c r="BG12" s="102"/>
      <c r="BH12" s="102"/>
      <c r="BI12" s="102"/>
      <c r="BJ12" s="102"/>
      <c r="BK12" s="102"/>
      <c r="BL12" s="102"/>
      <c r="BM12" s="102"/>
      <c r="BN12" s="102"/>
      <c r="BO12" s="102"/>
      <c r="BP12" s="103"/>
      <c r="BQ12" s="103" t="s">
        <v>188</v>
      </c>
      <c r="BR12" s="102"/>
      <c r="BS12" s="102"/>
      <c r="BT12" s="102"/>
      <c r="BU12" s="102"/>
      <c r="BV12" s="102"/>
      <c r="BW12" s="102"/>
      <c r="BX12" s="102"/>
      <c r="BY12" s="102"/>
      <c r="BZ12" s="102"/>
      <c r="CA12" s="103"/>
      <c r="CB12" s="103"/>
      <c r="CC12" s="103" t="s">
        <v>188</v>
      </c>
      <c r="CD12" s="102"/>
      <c r="CE12" s="102"/>
      <c r="CF12" s="102"/>
      <c r="CG12" s="102"/>
      <c r="CH12" s="102"/>
      <c r="CI12" s="102"/>
      <c r="CJ12" s="102"/>
      <c r="CK12" s="102"/>
      <c r="CL12" s="102"/>
      <c r="CM12" s="103"/>
      <c r="CN12" s="103"/>
      <c r="CO12" s="103" t="s">
        <v>188</v>
      </c>
      <c r="CP12" s="102"/>
      <c r="CQ12" s="102"/>
      <c r="CR12" s="102"/>
      <c r="CS12" s="102"/>
      <c r="CT12" s="102"/>
      <c r="CU12" s="102"/>
      <c r="CV12" s="102"/>
      <c r="CW12" s="102"/>
      <c r="CX12" s="102"/>
      <c r="CY12" s="103"/>
      <c r="CZ12" s="103"/>
      <c r="DA12" s="103" t="s">
        <v>188</v>
      </c>
      <c r="DB12" s="102"/>
      <c r="DC12" s="102"/>
      <c r="DD12" s="102"/>
      <c r="DE12" s="102"/>
      <c r="DF12" s="102"/>
      <c r="DG12" s="102"/>
      <c r="DH12" s="102"/>
      <c r="DI12" s="102"/>
      <c r="DJ12" s="102"/>
      <c r="DK12" s="103"/>
      <c r="DL12" s="103"/>
      <c r="DM12" s="103" t="s">
        <v>188</v>
      </c>
      <c r="DN12" s="102"/>
      <c r="DO12" s="102"/>
      <c r="DP12" s="102"/>
      <c r="DQ12" s="102"/>
      <c r="DR12" s="102"/>
      <c r="DS12" s="102"/>
      <c r="DT12" s="102"/>
      <c r="DU12" s="102"/>
      <c r="DV12" s="102"/>
      <c r="DW12" s="103"/>
      <c r="DX12" s="103" t="s">
        <v>188</v>
      </c>
      <c r="DY12" s="102"/>
      <c r="DZ12" s="102"/>
      <c r="EA12" s="102"/>
      <c r="EB12" s="102"/>
      <c r="EC12" s="102"/>
      <c r="ED12" s="102"/>
      <c r="EE12" s="102"/>
      <c r="EF12" s="138"/>
      <c r="HF12" s="108"/>
      <c r="HG12" s="108"/>
      <c r="HI12" s="108"/>
      <c r="HJ12" s="108"/>
      <c r="HK12" s="108"/>
      <c r="HL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c r="IR12" s="108"/>
      <c r="IS12" s="108"/>
      <c r="IT12" s="108"/>
      <c r="IU12" s="108"/>
      <c r="IV12" s="108"/>
    </row>
    <row r="13" spans="1:256" s="116" customFormat="1" ht="12.75">
      <c r="A13" s="425"/>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HF13"/>
      <c r="HG13"/>
      <c r="HH13" s="406"/>
      <c r="HI13"/>
      <c r="HJ13"/>
      <c r="HK13"/>
      <c r="HL13"/>
      <c r="HM13" s="406"/>
      <c r="HN13" s="406"/>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37:256" ht="12.75">
      <c r="EG14" s="120"/>
      <c r="HF14" s="116"/>
      <c r="HG14" s="116"/>
      <c r="HH14" s="410"/>
      <c r="HI14" s="116"/>
      <c r="HJ14" s="116"/>
      <c r="HK14" s="116"/>
      <c r="HL14" s="116"/>
      <c r="HM14" s="410"/>
      <c r="HN14" s="410"/>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row>
    <row r="15" spans="137:256" ht="12.75">
      <c r="EG15" s="116"/>
      <c r="EH15" s="116"/>
      <c r="EI15" s="116"/>
      <c r="EJ15" s="116"/>
      <c r="EK15" s="116"/>
      <c r="EL15" s="116"/>
      <c r="EM15" s="116"/>
      <c r="EN15" s="116"/>
      <c r="EO15" s="116"/>
      <c r="EP15" s="116"/>
      <c r="EQ15" s="116"/>
      <c r="ER15" s="116"/>
      <c r="ES15" s="116"/>
      <c r="ET15" s="116"/>
      <c r="EU15" s="116"/>
      <c r="EV15" s="116"/>
      <c r="EW15" s="116"/>
      <c r="EX15" s="116"/>
      <c r="EY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c r="IU15" s="116"/>
      <c r="IV15" s="116"/>
    </row>
    <row r="16" spans="137:256" ht="12.75">
      <c r="EG16" s="120"/>
      <c r="EH16" s="116"/>
      <c r="EI16" s="116"/>
      <c r="EJ16" s="116"/>
      <c r="EK16" s="116"/>
      <c r="EL16" s="116"/>
      <c r="EM16" s="116"/>
      <c r="EN16" s="116"/>
      <c r="EO16" s="116"/>
      <c r="EP16" s="116"/>
      <c r="EQ16" s="116"/>
      <c r="ER16" s="116"/>
      <c r="ES16" s="116"/>
      <c r="ET16" s="116"/>
      <c r="EU16" s="116"/>
      <c r="EV16" s="116"/>
      <c r="EW16" s="116"/>
      <c r="EX16" s="116"/>
      <c r="EY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c r="IT16" s="116"/>
      <c r="IU16" s="116"/>
      <c r="IV16" s="116"/>
    </row>
    <row r="35" ht="12.75">
      <c r="CD35" s="491"/>
    </row>
  </sheetData>
  <sheetProtection/>
  <mergeCells count="90">
    <mergeCell ref="FR5:FR6"/>
    <mergeCell ref="FX5:FX6"/>
    <mergeCell ref="HA5:HA6"/>
    <mergeCell ref="FS5:FS6"/>
    <mergeCell ref="FT5:FT6"/>
    <mergeCell ref="FU5:FU6"/>
    <mergeCell ref="FV5:FV6"/>
    <mergeCell ref="FW5:FW6"/>
    <mergeCell ref="FY5:FY6"/>
    <mergeCell ref="GD5:GD6"/>
    <mergeCell ref="EZ5:EZ6"/>
    <mergeCell ref="FA5:FA6"/>
    <mergeCell ref="FC5:FC6"/>
    <mergeCell ref="EH5:EM6"/>
    <mergeCell ref="EN5:ES6"/>
    <mergeCell ref="ET5:EY6"/>
    <mergeCell ref="FB5:FB6"/>
    <mergeCell ref="FD5:FD6"/>
    <mergeCell ref="FE5:FE6"/>
    <mergeCell ref="FF5:FF6"/>
    <mergeCell ref="FI5:FI6"/>
    <mergeCell ref="FG5:FG6"/>
    <mergeCell ref="FH5:FH6"/>
    <mergeCell ref="FN5:FN6"/>
    <mergeCell ref="FO5:FO6"/>
    <mergeCell ref="FP5:FP6"/>
    <mergeCell ref="FQ5:FQ6"/>
    <mergeCell ref="FJ5:FJ6"/>
    <mergeCell ref="FK5:FK6"/>
    <mergeCell ref="FL5:FL6"/>
    <mergeCell ref="FM5:FM6"/>
    <mergeCell ref="GF5:GF6"/>
    <mergeCell ref="GE5:GE6"/>
    <mergeCell ref="GG5:GG6"/>
    <mergeCell ref="FZ5:FZ6"/>
    <mergeCell ref="GA5:GA6"/>
    <mergeCell ref="GB5:GB6"/>
    <mergeCell ref="GC5:GC6"/>
    <mergeCell ref="GM5:GM6"/>
    <mergeCell ref="GN5:GN6"/>
    <mergeCell ref="GO5:GO6"/>
    <mergeCell ref="GP5:GP6"/>
    <mergeCell ref="GH5:GH6"/>
    <mergeCell ref="GI5:GI6"/>
    <mergeCell ref="GL5:GL6"/>
    <mergeCell ref="GJ5:GJ6"/>
    <mergeCell ref="GK5:GK6"/>
    <mergeCell ref="GQ5:GQ6"/>
    <mergeCell ref="GR5:GR6"/>
    <mergeCell ref="GS5:GS6"/>
    <mergeCell ref="GT5:GT6"/>
    <mergeCell ref="GU5:GU6"/>
    <mergeCell ref="GV5:GV6"/>
    <mergeCell ref="HG5:HG6"/>
    <mergeCell ref="HI5:HI6"/>
    <mergeCell ref="HH5:HH6"/>
    <mergeCell ref="GW5:GW6"/>
    <mergeCell ref="GX5:GX6"/>
    <mergeCell ref="GY5:GY6"/>
    <mergeCell ref="GZ5:GZ6"/>
    <mergeCell ref="HB5:HB6"/>
    <mergeCell ref="HC5:HC6"/>
    <mergeCell ref="HD5:HD6"/>
    <mergeCell ref="HE5:HE6"/>
    <mergeCell ref="HF5:HF6"/>
    <mergeCell ref="HP5:HP6"/>
    <mergeCell ref="HQ5:HQ6"/>
    <mergeCell ref="HR5:HR6"/>
    <mergeCell ref="HS5:HS6"/>
    <mergeCell ref="HJ5:HJ6"/>
    <mergeCell ref="HK5:HK6"/>
    <mergeCell ref="HL5:HL6"/>
    <mergeCell ref="HO5:HO6"/>
    <mergeCell ref="HM5:HM6"/>
    <mergeCell ref="HN5:HN6"/>
    <mergeCell ref="HY5:HY6"/>
    <mergeCell ref="HZ5:HZ6"/>
    <mergeCell ref="IA5:IA6"/>
    <mergeCell ref="IB5:IB6"/>
    <mergeCell ref="HT5:HT6"/>
    <mergeCell ref="HU5:HU6"/>
    <mergeCell ref="HV5:HV6"/>
    <mergeCell ref="HW5:HW6"/>
    <mergeCell ref="HX5:HX6"/>
    <mergeCell ref="IH5:IH6"/>
    <mergeCell ref="IC5:IC6"/>
    <mergeCell ref="IE5:IE6"/>
    <mergeCell ref="IF5:IF6"/>
    <mergeCell ref="IG5:IG6"/>
    <mergeCell ref="ID5:ID6"/>
  </mergeCells>
  <printOptions/>
  <pageMargins left="0.75" right="0.75" top="1" bottom="1" header="0.5" footer="0.5"/>
  <pageSetup horizontalDpi="360" verticalDpi="360"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AC32"/>
  <sheetViews>
    <sheetView zoomScalePageLayoutView="0" workbookViewId="0" topLeftCell="A1">
      <selection activeCell="I4" sqref="I4"/>
    </sheetView>
  </sheetViews>
  <sheetFormatPr defaultColWidth="9.140625" defaultRowHeight="12.75"/>
  <cols>
    <col min="1" max="2" width="3.421875" style="16" customWidth="1"/>
    <col min="3" max="3" width="4.28125" style="16" customWidth="1"/>
    <col min="4" max="4" width="0.13671875" style="16" customWidth="1"/>
    <col min="5" max="5" width="29.7109375" style="16" customWidth="1"/>
    <col min="6" max="6" width="3.421875" style="16" customWidth="1"/>
    <col min="7" max="8" width="3.7109375" style="16" customWidth="1"/>
    <col min="9" max="9" width="4.421875" style="16" customWidth="1"/>
    <col min="10" max="11" width="3.7109375" style="16" customWidth="1"/>
    <col min="12" max="12" width="3.421875" style="16" customWidth="1"/>
    <col min="13" max="14" width="3.7109375" style="16" customWidth="1"/>
    <col min="15" max="15" width="3.421875" style="16" customWidth="1"/>
    <col min="16" max="20" width="3.7109375" style="16" customWidth="1"/>
    <col min="21" max="21" width="3.421875" style="16" customWidth="1"/>
    <col min="22" max="23" width="3.7109375" style="16" customWidth="1"/>
    <col min="24" max="24" width="15.140625" style="16" customWidth="1"/>
    <col min="25" max="25" width="9.8515625" style="16" customWidth="1"/>
    <col min="26" max="27" width="3.7109375" style="16" customWidth="1"/>
    <col min="28" max="28" width="8.8515625" style="194" customWidth="1"/>
    <col min="29" max="29" width="8.8515625" style="16" customWidth="1"/>
    <col min="30" max="16384" width="9.140625" style="16" customWidth="1"/>
  </cols>
  <sheetData>
    <row r="1" spans="1:29" ht="12.75">
      <c r="A1" s="41"/>
      <c r="B1" s="42"/>
      <c r="C1" s="43"/>
      <c r="D1" s="43"/>
      <c r="E1" s="164"/>
      <c r="F1" s="44"/>
      <c r="G1" s="44"/>
      <c r="H1" s="44"/>
      <c r="I1" s="44"/>
      <c r="J1" s="44"/>
      <c r="K1" s="44"/>
      <c r="L1" s="44"/>
      <c r="M1" s="44"/>
      <c r="N1" s="44"/>
      <c r="O1" s="44"/>
      <c r="P1" s="44"/>
      <c r="Q1" s="44"/>
      <c r="R1" s="44"/>
      <c r="S1" s="44"/>
      <c r="T1" s="44"/>
      <c r="U1" s="44"/>
      <c r="V1" s="44"/>
      <c r="W1" s="44"/>
      <c r="X1" s="44"/>
      <c r="Y1" s="44"/>
      <c r="Z1" s="45"/>
      <c r="AA1" s="96"/>
      <c r="AB1" s="454"/>
      <c r="AC1" s="243"/>
    </row>
    <row r="2" spans="1:29" ht="12.75">
      <c r="A2" s="46"/>
      <c r="B2" s="47"/>
      <c r="C2" s="48" t="s">
        <v>173</v>
      </c>
      <c r="D2" s="48"/>
      <c r="E2" s="2"/>
      <c r="F2" s="49"/>
      <c r="G2" s="49"/>
      <c r="H2" s="49"/>
      <c r="I2" s="49"/>
      <c r="J2" s="49"/>
      <c r="K2" s="49"/>
      <c r="L2" s="49"/>
      <c r="M2" s="49"/>
      <c r="N2" s="49"/>
      <c r="O2" s="49"/>
      <c r="P2" s="49"/>
      <c r="Q2" s="49"/>
      <c r="R2" s="49"/>
      <c r="S2" s="49"/>
      <c r="T2" s="49"/>
      <c r="U2" s="49"/>
      <c r="V2" s="49"/>
      <c r="W2" s="49"/>
      <c r="X2" s="49"/>
      <c r="Y2" s="49"/>
      <c r="Z2" s="50"/>
      <c r="AA2" s="87"/>
      <c r="AB2" s="242"/>
      <c r="AC2" s="249"/>
    </row>
    <row r="3" spans="1:29" ht="13.5" thickBot="1">
      <c r="A3" s="46"/>
      <c r="B3" s="47"/>
      <c r="C3" s="48"/>
      <c r="D3" s="48"/>
      <c r="E3" s="2"/>
      <c r="F3" s="49"/>
      <c r="G3" s="49"/>
      <c r="H3" s="49"/>
      <c r="I3" s="49"/>
      <c r="J3" s="49"/>
      <c r="K3" s="49"/>
      <c r="L3" s="49"/>
      <c r="M3" s="49"/>
      <c r="N3" s="49"/>
      <c r="O3" s="49"/>
      <c r="P3" s="49"/>
      <c r="Q3" s="49"/>
      <c r="R3" s="49"/>
      <c r="S3" s="49"/>
      <c r="T3" s="49"/>
      <c r="U3" s="49"/>
      <c r="V3" s="49"/>
      <c r="W3" s="49"/>
      <c r="X3" s="49"/>
      <c r="Y3" s="49"/>
      <c r="Z3" s="50"/>
      <c r="AA3" s="87"/>
      <c r="AB3" s="242"/>
      <c r="AC3" s="249"/>
    </row>
    <row r="4" spans="1:29" ht="16.5" thickBot="1">
      <c r="A4" s="468" t="str">
        <f>IF(AND(P4="",I4&lt;&gt;""),"1","")</f>
        <v>1</v>
      </c>
      <c r="B4" s="47"/>
      <c r="C4" s="52" t="s">
        <v>174</v>
      </c>
      <c r="D4" s="48"/>
      <c r="E4" s="455"/>
      <c r="F4" s="49"/>
      <c r="G4" s="49"/>
      <c r="H4" s="49"/>
      <c r="I4" s="461">
        <v>1</v>
      </c>
      <c r="J4" s="49"/>
      <c r="K4" s="49"/>
      <c r="L4" s="49"/>
      <c r="M4" s="194"/>
      <c r="N4" s="49"/>
      <c r="O4" s="194"/>
      <c r="P4" s="53">
        <f>IF(MAX('DB'!A:A)&lt;1," No Stored Data!                   ",IF(I4="","",IF(NOT(AND(MIN('DB'!A:A)&lt;=I4,I4&lt;=MAX('DB'!A:A))),"Invalid Line Number Entered!",IF(INT(I4)=I4,"","Invalid Line Number Entered!"))))</f>
      </c>
      <c r="Q4" s="49"/>
      <c r="R4" s="49"/>
      <c r="S4" s="49"/>
      <c r="T4" s="49"/>
      <c r="U4" s="49"/>
      <c r="V4" s="49"/>
      <c r="W4" s="49"/>
      <c r="X4" s="49"/>
      <c r="Y4" s="49"/>
      <c r="Z4" s="50"/>
      <c r="AA4" s="87"/>
      <c r="AB4" s="242"/>
      <c r="AC4" s="249"/>
    </row>
    <row r="5" spans="1:29" ht="12.75">
      <c r="A5" s="46"/>
      <c r="B5" s="47"/>
      <c r="C5" s="54"/>
      <c r="D5" s="48"/>
      <c r="E5" s="2"/>
      <c r="F5" s="49"/>
      <c r="G5" s="49"/>
      <c r="H5" s="55" t="s">
        <v>175</v>
      </c>
      <c r="I5" s="56">
        <v>2</v>
      </c>
      <c r="J5" s="49"/>
      <c r="K5" s="194"/>
      <c r="L5" s="49"/>
      <c r="M5" s="49"/>
      <c r="N5" s="49"/>
      <c r="O5" s="49"/>
      <c r="P5" s="49"/>
      <c r="Q5" s="49"/>
      <c r="R5" s="49"/>
      <c r="S5" s="49"/>
      <c r="T5" s="49"/>
      <c r="U5" s="49"/>
      <c r="V5" s="49"/>
      <c r="W5" s="49"/>
      <c r="X5" s="49"/>
      <c r="Y5" s="49"/>
      <c r="Z5" s="50"/>
      <c r="AA5" s="87"/>
      <c r="AB5" s="242"/>
      <c r="AC5" s="249"/>
    </row>
    <row r="6" spans="1:29" ht="13.5" thickBot="1">
      <c r="A6" s="46"/>
      <c r="B6" s="47"/>
      <c r="C6" s="57"/>
      <c r="D6" s="57"/>
      <c r="E6" s="455"/>
      <c r="F6" s="49"/>
      <c r="G6" s="49"/>
      <c r="H6" s="49"/>
      <c r="I6" s="49"/>
      <c r="J6" s="49"/>
      <c r="K6" s="49"/>
      <c r="L6" s="49"/>
      <c r="M6" s="49"/>
      <c r="N6" s="49"/>
      <c r="O6" s="49"/>
      <c r="P6" s="49"/>
      <c r="Q6" s="49"/>
      <c r="R6" s="49"/>
      <c r="S6" s="49"/>
      <c r="T6" s="49"/>
      <c r="U6" s="49"/>
      <c r="V6" s="49"/>
      <c r="W6" s="49"/>
      <c r="X6" s="49"/>
      <c r="Y6" s="49"/>
      <c r="Z6" s="50"/>
      <c r="AA6" s="87"/>
      <c r="AB6" s="242"/>
      <c r="AC6" s="249"/>
    </row>
    <row r="7" spans="1:29" ht="12.75">
      <c r="A7" s="46"/>
      <c r="B7" s="47"/>
      <c r="C7" s="58"/>
      <c r="D7" s="59"/>
      <c r="E7" s="60"/>
      <c r="F7" s="62"/>
      <c r="G7" s="61"/>
      <c r="H7" s="61"/>
      <c r="I7" s="61"/>
      <c r="J7" s="61"/>
      <c r="K7" s="61"/>
      <c r="L7" s="61" t="s">
        <v>355</v>
      </c>
      <c r="M7" s="61"/>
      <c r="N7" s="61"/>
      <c r="O7" s="61"/>
      <c r="P7" s="61"/>
      <c r="Q7" s="61"/>
      <c r="R7" s="61"/>
      <c r="S7" s="61"/>
      <c r="T7" s="61"/>
      <c r="U7" s="61"/>
      <c r="V7" s="61"/>
      <c r="W7" s="61"/>
      <c r="X7" s="63"/>
      <c r="Y7" s="64"/>
      <c r="Z7" s="50"/>
      <c r="AA7" s="87"/>
      <c r="AB7" s="242"/>
      <c r="AC7" s="249"/>
    </row>
    <row r="8" spans="1:29" ht="12.75">
      <c r="A8" s="46"/>
      <c r="B8" s="47"/>
      <c r="C8" s="65" t="s">
        <v>176</v>
      </c>
      <c r="D8" s="57"/>
      <c r="E8" s="66"/>
      <c r="F8" s="65"/>
      <c r="G8" s="57" t="s">
        <v>177</v>
      </c>
      <c r="H8" s="57"/>
      <c r="I8" s="67"/>
      <c r="J8" s="57" t="s">
        <v>184</v>
      </c>
      <c r="K8" s="57"/>
      <c r="L8" s="67"/>
      <c r="M8" s="57" t="s">
        <v>185</v>
      </c>
      <c r="N8" s="57"/>
      <c r="O8" s="67"/>
      <c r="P8" s="57" t="s">
        <v>186</v>
      </c>
      <c r="Q8" s="57"/>
      <c r="R8" s="67"/>
      <c r="S8" s="57" t="s">
        <v>187</v>
      </c>
      <c r="T8" s="57"/>
      <c r="U8" s="588"/>
      <c r="V8" s="57" t="s">
        <v>89</v>
      </c>
      <c r="W8" s="57"/>
      <c r="X8" s="47"/>
      <c r="Y8" s="68"/>
      <c r="Z8" s="50"/>
      <c r="AA8" s="87"/>
      <c r="AB8" s="242"/>
      <c r="AC8" s="249"/>
    </row>
    <row r="9" spans="1:29" ht="12.75">
      <c r="A9" s="46"/>
      <c r="B9" s="47"/>
      <c r="C9" s="65" t="s">
        <v>178</v>
      </c>
      <c r="D9" s="70"/>
      <c r="E9" s="71" t="s">
        <v>209</v>
      </c>
      <c r="F9" s="69" t="s">
        <v>179</v>
      </c>
      <c r="G9" s="70" t="s">
        <v>180</v>
      </c>
      <c r="H9" s="70" t="s">
        <v>181</v>
      </c>
      <c r="I9" s="72" t="s">
        <v>179</v>
      </c>
      <c r="J9" s="70" t="s">
        <v>180</v>
      </c>
      <c r="K9" s="70" t="s">
        <v>181</v>
      </c>
      <c r="L9" s="72" t="s">
        <v>179</v>
      </c>
      <c r="M9" s="70" t="s">
        <v>180</v>
      </c>
      <c r="N9" s="70" t="s">
        <v>181</v>
      </c>
      <c r="O9" s="72" t="s">
        <v>179</v>
      </c>
      <c r="P9" s="70" t="s">
        <v>180</v>
      </c>
      <c r="Q9" s="70" t="s">
        <v>181</v>
      </c>
      <c r="R9" s="72" t="s">
        <v>179</v>
      </c>
      <c r="S9" s="70" t="s">
        <v>180</v>
      </c>
      <c r="T9" s="70" t="s">
        <v>181</v>
      </c>
      <c r="U9" s="72" t="s">
        <v>179</v>
      </c>
      <c r="V9" s="70" t="s">
        <v>180</v>
      </c>
      <c r="W9" s="70" t="s">
        <v>181</v>
      </c>
      <c r="X9" s="73" t="s">
        <v>182</v>
      </c>
      <c r="Y9" s="472" t="s">
        <v>183</v>
      </c>
      <c r="Z9" s="50"/>
      <c r="AA9" s="87"/>
      <c r="AB9" s="242"/>
      <c r="AC9" s="249"/>
    </row>
    <row r="10" spans="1:29" ht="12.75">
      <c r="A10" s="46"/>
      <c r="B10" s="74"/>
      <c r="C10" s="456"/>
      <c r="D10" s="457"/>
      <c r="E10" s="75"/>
      <c r="F10" s="76"/>
      <c r="G10" s="77"/>
      <c r="H10" s="77"/>
      <c r="I10" s="78"/>
      <c r="J10" s="78"/>
      <c r="K10" s="78"/>
      <c r="L10" s="78"/>
      <c r="M10" s="78"/>
      <c r="N10" s="78"/>
      <c r="O10" s="78"/>
      <c r="P10" s="78"/>
      <c r="Q10" s="78"/>
      <c r="R10" s="78"/>
      <c r="S10" s="78"/>
      <c r="T10" s="97"/>
      <c r="U10" s="589"/>
      <c r="V10" s="78"/>
      <c r="W10" s="97"/>
      <c r="X10" s="99"/>
      <c r="Y10" s="79"/>
      <c r="Z10" s="50"/>
      <c r="AA10" s="87"/>
      <c r="AB10" s="242"/>
      <c r="AC10" s="249"/>
    </row>
    <row r="11" spans="1:29" ht="12.75">
      <c r="A11" s="46"/>
      <c r="B11" s="74"/>
      <c r="C11" s="471">
        <f>C10+1</f>
        <v>1</v>
      </c>
      <c r="D11" s="457"/>
      <c r="E11" s="75" t="s">
        <v>357</v>
      </c>
      <c r="F11" s="76" t="s">
        <v>364</v>
      </c>
      <c r="G11" s="77" t="s">
        <v>364</v>
      </c>
      <c r="H11" s="77" t="s">
        <v>364</v>
      </c>
      <c r="I11" s="78" t="s">
        <v>365</v>
      </c>
      <c r="J11" s="78" t="s">
        <v>365</v>
      </c>
      <c r="K11" s="78" t="s">
        <v>365</v>
      </c>
      <c r="L11" s="78" t="s">
        <v>364</v>
      </c>
      <c r="M11" s="78" t="s">
        <v>364</v>
      </c>
      <c r="N11" s="78" t="s">
        <v>364</v>
      </c>
      <c r="O11" s="78" t="s">
        <v>365</v>
      </c>
      <c r="P11" s="78" t="s">
        <v>365</v>
      </c>
      <c r="Q11" s="78" t="s">
        <v>365</v>
      </c>
      <c r="R11" s="78" t="s">
        <v>356</v>
      </c>
      <c r="S11" s="78" t="s">
        <v>356</v>
      </c>
      <c r="T11" s="97" t="s">
        <v>366</v>
      </c>
      <c r="U11" s="589" t="s">
        <v>364</v>
      </c>
      <c r="V11" s="78" t="s">
        <v>364</v>
      </c>
      <c r="W11" s="97" t="s">
        <v>364</v>
      </c>
      <c r="X11" s="99" t="s">
        <v>359</v>
      </c>
      <c r="Y11" s="79">
        <v>41054</v>
      </c>
      <c r="Z11" s="50"/>
      <c r="AA11" s="87"/>
      <c r="AB11" s="242"/>
      <c r="AC11" s="249"/>
    </row>
    <row r="12" spans="1:29" ht="12.75">
      <c r="A12" s="46"/>
      <c r="B12" s="74"/>
      <c r="C12" s="471">
        <f>C11+1</f>
        <v>2</v>
      </c>
      <c r="D12" s="457"/>
      <c r="E12" s="75" t="s">
        <v>369</v>
      </c>
      <c r="F12" s="76" t="s">
        <v>364</v>
      </c>
      <c r="G12" s="77" t="s">
        <v>364</v>
      </c>
      <c r="H12" s="77" t="s">
        <v>364</v>
      </c>
      <c r="I12" s="78" t="s">
        <v>365</v>
      </c>
      <c r="J12" s="78" t="s">
        <v>365</v>
      </c>
      <c r="K12" s="78" t="s">
        <v>365</v>
      </c>
      <c r="L12" s="78" t="s">
        <v>366</v>
      </c>
      <c r="M12" s="78" t="s">
        <v>366</v>
      </c>
      <c r="N12" s="78" t="s">
        <v>366</v>
      </c>
      <c r="O12" s="78" t="s">
        <v>365</v>
      </c>
      <c r="P12" s="78" t="s">
        <v>365</v>
      </c>
      <c r="Q12" s="78" t="s">
        <v>365</v>
      </c>
      <c r="R12" s="78" t="s">
        <v>356</v>
      </c>
      <c r="S12" s="78" t="s">
        <v>356</v>
      </c>
      <c r="T12" s="97" t="s">
        <v>366</v>
      </c>
      <c r="U12" s="589" t="s">
        <v>364</v>
      </c>
      <c r="V12" s="78" t="s">
        <v>364</v>
      </c>
      <c r="W12" s="97" t="s">
        <v>364</v>
      </c>
      <c r="X12" s="99" t="s">
        <v>359</v>
      </c>
      <c r="Y12" s="79">
        <v>41054</v>
      </c>
      <c r="Z12" s="50"/>
      <c r="AA12" s="87"/>
      <c r="AB12" s="242"/>
      <c r="AC12" s="249"/>
    </row>
    <row r="13" spans="1:29" ht="13.5" thickBot="1">
      <c r="A13" s="46"/>
      <c r="B13" s="47"/>
      <c r="C13" s="458"/>
      <c r="D13" s="459"/>
      <c r="E13" s="80"/>
      <c r="F13" s="81"/>
      <c r="G13" s="82"/>
      <c r="H13" s="82"/>
      <c r="I13" s="83"/>
      <c r="J13" s="83"/>
      <c r="K13" s="83"/>
      <c r="L13" s="83"/>
      <c r="M13" s="83"/>
      <c r="N13" s="83"/>
      <c r="O13" s="83"/>
      <c r="P13" s="83"/>
      <c r="Q13" s="83"/>
      <c r="R13" s="83"/>
      <c r="S13" s="83"/>
      <c r="T13" s="98"/>
      <c r="U13" s="590"/>
      <c r="V13" s="83"/>
      <c r="W13" s="98"/>
      <c r="X13" s="100"/>
      <c r="Y13" s="84"/>
      <c r="Z13" s="50"/>
      <c r="AA13" s="87"/>
      <c r="AB13" s="242"/>
      <c r="AC13" s="249"/>
    </row>
    <row r="14" spans="1:29" ht="12.75">
      <c r="A14" s="46"/>
      <c r="B14" s="47"/>
      <c r="C14" s="2"/>
      <c r="D14" s="2"/>
      <c r="E14" s="2"/>
      <c r="F14" s="2"/>
      <c r="G14" s="2"/>
      <c r="H14" s="2"/>
      <c r="I14" s="2"/>
      <c r="J14" s="2"/>
      <c r="K14" s="2"/>
      <c r="L14" s="2"/>
      <c r="M14" s="2"/>
      <c r="N14" s="2"/>
      <c r="O14" s="2"/>
      <c r="P14" s="2"/>
      <c r="Q14" s="2"/>
      <c r="R14" s="2"/>
      <c r="S14" s="2"/>
      <c r="T14" s="2"/>
      <c r="U14" s="2"/>
      <c r="V14" s="2"/>
      <c r="W14" s="2"/>
      <c r="X14" s="2"/>
      <c r="Y14" s="2"/>
      <c r="Z14" s="50"/>
      <c r="AA14" s="87"/>
      <c r="AB14" s="242"/>
      <c r="AC14" s="249"/>
    </row>
    <row r="15" spans="1:29" ht="13.5" thickBot="1">
      <c r="A15" s="46"/>
      <c r="B15" s="85"/>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86"/>
      <c r="AA15" s="87"/>
      <c r="AB15" s="242"/>
      <c r="AC15" s="249"/>
    </row>
    <row r="16" spans="1:29" ht="12.75">
      <c r="A16" s="46"/>
      <c r="B16" s="87"/>
      <c r="C16" s="460"/>
      <c r="D16" s="460"/>
      <c r="E16" s="242"/>
      <c r="F16" s="87"/>
      <c r="G16" s="87"/>
      <c r="H16" s="87"/>
      <c r="I16" s="87"/>
      <c r="J16" s="87"/>
      <c r="K16" s="87"/>
      <c r="L16" s="87"/>
      <c r="M16" s="87"/>
      <c r="N16" s="87"/>
      <c r="O16" s="87"/>
      <c r="P16" s="87"/>
      <c r="Q16" s="87"/>
      <c r="R16" s="87"/>
      <c r="S16" s="87"/>
      <c r="T16" s="87"/>
      <c r="U16" s="87"/>
      <c r="V16" s="87"/>
      <c r="W16" s="87"/>
      <c r="X16" s="87"/>
      <c r="Y16" s="87"/>
      <c r="Z16" s="87"/>
      <c r="AA16" s="87"/>
      <c r="AB16" s="242"/>
      <c r="AC16" s="249"/>
    </row>
    <row r="17" spans="1:29" ht="12.75">
      <c r="A17" s="46"/>
      <c r="B17" s="87"/>
      <c r="C17" s="88"/>
      <c r="D17" s="88"/>
      <c r="E17" s="87"/>
      <c r="F17" s="87"/>
      <c r="G17" s="87"/>
      <c r="H17" s="87"/>
      <c r="I17" s="87"/>
      <c r="J17" s="87"/>
      <c r="K17" s="87"/>
      <c r="L17" s="87"/>
      <c r="M17" s="87"/>
      <c r="N17" s="87"/>
      <c r="O17" s="87"/>
      <c r="P17" s="87"/>
      <c r="Q17" s="87"/>
      <c r="R17" s="87"/>
      <c r="S17" s="87"/>
      <c r="T17" s="87"/>
      <c r="U17" s="87"/>
      <c r="V17" s="87"/>
      <c r="W17" s="87"/>
      <c r="X17" s="87"/>
      <c r="Y17" s="87"/>
      <c r="Z17" s="87"/>
      <c r="AA17" s="87"/>
      <c r="AB17" s="242"/>
      <c r="AC17" s="249"/>
    </row>
    <row r="18" spans="1:29" ht="12.75">
      <c r="A18" s="46"/>
      <c r="B18" s="87"/>
      <c r="C18" s="88"/>
      <c r="D18" s="88"/>
      <c r="E18" s="87"/>
      <c r="F18" s="87"/>
      <c r="G18" s="87"/>
      <c r="H18" s="87"/>
      <c r="I18" s="87"/>
      <c r="J18" s="87"/>
      <c r="K18" s="87"/>
      <c r="L18" s="87"/>
      <c r="M18" s="87"/>
      <c r="N18" s="87"/>
      <c r="O18" s="87"/>
      <c r="P18" s="87"/>
      <c r="Q18" s="87"/>
      <c r="R18" s="87"/>
      <c r="S18" s="87"/>
      <c r="T18" s="87"/>
      <c r="U18" s="87"/>
      <c r="V18" s="87"/>
      <c r="W18" s="87"/>
      <c r="X18" s="87"/>
      <c r="Y18" s="87"/>
      <c r="Z18" s="87"/>
      <c r="AA18" s="87"/>
      <c r="AB18" s="242"/>
      <c r="AC18" s="249"/>
    </row>
    <row r="19" spans="1:29" ht="12.75">
      <c r="A19" s="46"/>
      <c r="B19" s="87"/>
      <c r="C19" s="88"/>
      <c r="D19" s="88"/>
      <c r="E19" s="87"/>
      <c r="F19" s="87"/>
      <c r="G19" s="87"/>
      <c r="H19" s="87"/>
      <c r="I19" s="87"/>
      <c r="J19" s="87"/>
      <c r="K19" s="87"/>
      <c r="L19" s="87"/>
      <c r="M19" s="87"/>
      <c r="N19" s="87"/>
      <c r="O19" s="87"/>
      <c r="P19" s="87"/>
      <c r="Q19" s="87"/>
      <c r="R19" s="87"/>
      <c r="S19" s="87"/>
      <c r="T19" s="87"/>
      <c r="U19" s="87"/>
      <c r="V19" s="87"/>
      <c r="W19" s="87"/>
      <c r="X19" s="87"/>
      <c r="Y19" s="87"/>
      <c r="Z19" s="87"/>
      <c r="AA19" s="87"/>
      <c r="AB19" s="242"/>
      <c r="AC19" s="249"/>
    </row>
    <row r="20" spans="1:29" ht="12.75">
      <c r="A20" s="89"/>
      <c r="B20" s="87"/>
      <c r="C20" s="88"/>
      <c r="D20" s="88"/>
      <c r="E20" s="87"/>
      <c r="F20" s="87"/>
      <c r="G20" s="87"/>
      <c r="H20" s="87"/>
      <c r="I20" s="87"/>
      <c r="J20" s="87"/>
      <c r="K20" s="87"/>
      <c r="L20" s="87"/>
      <c r="M20" s="87"/>
      <c r="N20" s="87"/>
      <c r="O20" s="87"/>
      <c r="P20" s="87"/>
      <c r="Q20" s="87"/>
      <c r="R20" s="87"/>
      <c r="S20" s="87"/>
      <c r="T20" s="87"/>
      <c r="U20" s="87"/>
      <c r="V20" s="87"/>
      <c r="W20" s="87"/>
      <c r="X20" s="87"/>
      <c r="Y20" s="87"/>
      <c r="Z20" s="87"/>
      <c r="AA20" s="87"/>
      <c r="AB20" s="242"/>
      <c r="AC20" s="249"/>
    </row>
    <row r="21" spans="1:29" ht="12.75">
      <c r="A21" s="89"/>
      <c r="B21" s="51"/>
      <c r="C21" s="90"/>
      <c r="D21" s="90"/>
      <c r="E21" s="87"/>
      <c r="F21" s="87"/>
      <c r="G21" s="87"/>
      <c r="H21" s="87"/>
      <c r="I21" s="87"/>
      <c r="J21" s="87"/>
      <c r="K21" s="87"/>
      <c r="L21" s="87"/>
      <c r="M21" s="87"/>
      <c r="N21" s="87"/>
      <c r="O21" s="87"/>
      <c r="P21" s="87"/>
      <c r="Q21" s="87"/>
      <c r="R21" s="87"/>
      <c r="S21" s="87"/>
      <c r="T21" s="87"/>
      <c r="U21" s="87"/>
      <c r="V21" s="87"/>
      <c r="W21" s="87"/>
      <c r="X21" s="87"/>
      <c r="Y21" s="51"/>
      <c r="Z21" s="51"/>
      <c r="AA21" s="51"/>
      <c r="AB21" s="242"/>
      <c r="AC21" s="249"/>
    </row>
    <row r="22" spans="1:29" ht="12.75">
      <c r="A22" s="89"/>
      <c r="B22" s="51"/>
      <c r="C22" s="90"/>
      <c r="D22" s="90"/>
      <c r="E22" s="87"/>
      <c r="F22" s="87"/>
      <c r="G22" s="87"/>
      <c r="H22" s="87"/>
      <c r="I22" s="87"/>
      <c r="J22" s="87"/>
      <c r="K22" s="87"/>
      <c r="L22" s="87"/>
      <c r="M22" s="87"/>
      <c r="N22" s="87"/>
      <c r="O22" s="87"/>
      <c r="P22" s="87"/>
      <c r="Q22" s="87"/>
      <c r="R22" s="87"/>
      <c r="S22" s="87"/>
      <c r="T22" s="87"/>
      <c r="U22" s="87"/>
      <c r="V22" s="87"/>
      <c r="W22" s="87"/>
      <c r="X22" s="87"/>
      <c r="Y22" s="51"/>
      <c r="Z22" s="51"/>
      <c r="AA22" s="51"/>
      <c r="AB22" s="242"/>
      <c r="AC22" s="249"/>
    </row>
    <row r="23" spans="1:29" ht="12.75">
      <c r="A23" s="91"/>
      <c r="B23" s="51"/>
      <c r="C23" s="90"/>
      <c r="D23" s="90"/>
      <c r="E23" s="87"/>
      <c r="F23" s="87"/>
      <c r="G23" s="87"/>
      <c r="H23" s="87"/>
      <c r="I23" s="87"/>
      <c r="J23" s="87"/>
      <c r="K23" s="87"/>
      <c r="L23" s="87"/>
      <c r="M23" s="87"/>
      <c r="N23" s="87"/>
      <c r="O23" s="87"/>
      <c r="P23" s="87"/>
      <c r="Q23" s="87"/>
      <c r="R23" s="87"/>
      <c r="S23" s="87"/>
      <c r="T23" s="87"/>
      <c r="U23" s="87"/>
      <c r="V23" s="87"/>
      <c r="W23" s="87"/>
      <c r="X23" s="87"/>
      <c r="Y23" s="51"/>
      <c r="Z23" s="51"/>
      <c r="AA23" s="51"/>
      <c r="AB23" s="242"/>
      <c r="AC23" s="249"/>
    </row>
    <row r="24" spans="1:29" ht="12.75">
      <c r="A24" s="91"/>
      <c r="B24" s="51"/>
      <c r="C24" s="90"/>
      <c r="D24" s="90"/>
      <c r="E24" s="51"/>
      <c r="F24" s="51"/>
      <c r="G24" s="51"/>
      <c r="H24" s="51"/>
      <c r="I24" s="51"/>
      <c r="J24" s="51"/>
      <c r="K24" s="51"/>
      <c r="L24" s="51"/>
      <c r="M24" s="51"/>
      <c r="N24" s="51"/>
      <c r="O24" s="51"/>
      <c r="P24" s="51"/>
      <c r="Q24" s="51"/>
      <c r="R24" s="51"/>
      <c r="S24" s="51"/>
      <c r="T24" s="51"/>
      <c r="U24" s="51"/>
      <c r="V24" s="51"/>
      <c r="W24" s="51"/>
      <c r="X24" s="51"/>
      <c r="Y24" s="51"/>
      <c r="Z24" s="51"/>
      <c r="AA24" s="51"/>
      <c r="AB24" s="242"/>
      <c r="AC24" s="249"/>
    </row>
    <row r="25" spans="1:29" ht="12.75">
      <c r="A25" s="91"/>
      <c r="B25" s="51"/>
      <c r="C25" s="90"/>
      <c r="D25" s="90"/>
      <c r="E25" s="51"/>
      <c r="F25" s="51"/>
      <c r="G25" s="51"/>
      <c r="H25" s="51"/>
      <c r="I25" s="51"/>
      <c r="J25" s="51"/>
      <c r="K25" s="51"/>
      <c r="L25" s="51"/>
      <c r="M25" s="51"/>
      <c r="N25" s="51"/>
      <c r="O25" s="51"/>
      <c r="P25" s="51"/>
      <c r="Q25" s="51"/>
      <c r="R25" s="51"/>
      <c r="S25" s="51"/>
      <c r="T25" s="51"/>
      <c r="U25" s="51"/>
      <c r="V25" s="51"/>
      <c r="W25" s="51"/>
      <c r="X25" s="51"/>
      <c r="Y25" s="51"/>
      <c r="Z25" s="51"/>
      <c r="AA25" s="51"/>
      <c r="AB25" s="242"/>
      <c r="AC25" s="249"/>
    </row>
    <row r="26" spans="1:29" ht="12.75">
      <c r="A26" s="89"/>
      <c r="B26" s="51"/>
      <c r="C26" s="90"/>
      <c r="D26" s="90"/>
      <c r="E26" s="51"/>
      <c r="F26" s="51"/>
      <c r="G26" s="51"/>
      <c r="H26" s="51"/>
      <c r="I26" s="51"/>
      <c r="J26" s="51"/>
      <c r="K26" s="51"/>
      <c r="L26" s="51"/>
      <c r="M26" s="51"/>
      <c r="N26" s="51"/>
      <c r="O26" s="51"/>
      <c r="P26" s="51"/>
      <c r="Q26" s="51"/>
      <c r="R26" s="51"/>
      <c r="S26" s="51"/>
      <c r="T26" s="51"/>
      <c r="U26" s="51"/>
      <c r="V26" s="51"/>
      <c r="W26" s="51"/>
      <c r="X26" s="51"/>
      <c r="Y26" s="51"/>
      <c r="Z26" s="51"/>
      <c r="AA26" s="51"/>
      <c r="AB26" s="242"/>
      <c r="AC26" s="249"/>
    </row>
    <row r="27" spans="1:29" ht="12.75">
      <c r="A27" s="89"/>
      <c r="B27" s="51"/>
      <c r="C27" s="90"/>
      <c r="D27" s="90"/>
      <c r="E27" s="51"/>
      <c r="F27" s="51"/>
      <c r="G27" s="51"/>
      <c r="H27" s="51"/>
      <c r="I27" s="51"/>
      <c r="J27" s="51"/>
      <c r="K27" s="51"/>
      <c r="L27" s="51"/>
      <c r="M27" s="51"/>
      <c r="N27" s="51"/>
      <c r="O27" s="51"/>
      <c r="P27" s="51"/>
      <c r="Q27" s="51"/>
      <c r="R27" s="51"/>
      <c r="S27" s="51"/>
      <c r="T27" s="51"/>
      <c r="U27" s="51"/>
      <c r="V27" s="51"/>
      <c r="W27" s="51"/>
      <c r="X27" s="51"/>
      <c r="Y27" s="51"/>
      <c r="Z27" s="51"/>
      <c r="AA27" s="51"/>
      <c r="AB27" s="242"/>
      <c r="AC27" s="249"/>
    </row>
    <row r="28" spans="1:29" ht="12.75">
      <c r="A28" s="89"/>
      <c r="B28" s="51"/>
      <c r="C28" s="90"/>
      <c r="D28" s="90"/>
      <c r="E28" s="51"/>
      <c r="F28" s="51"/>
      <c r="G28" s="51"/>
      <c r="H28" s="51"/>
      <c r="I28" s="51"/>
      <c r="J28" s="51"/>
      <c r="K28" s="51"/>
      <c r="L28" s="51"/>
      <c r="M28" s="51"/>
      <c r="N28" s="51"/>
      <c r="O28" s="51"/>
      <c r="P28" s="51"/>
      <c r="Q28" s="51"/>
      <c r="R28" s="51"/>
      <c r="S28" s="51"/>
      <c r="T28" s="51"/>
      <c r="U28" s="51"/>
      <c r="V28" s="51"/>
      <c r="W28" s="51"/>
      <c r="X28" s="51"/>
      <c r="Y28" s="51"/>
      <c r="Z28" s="51"/>
      <c r="AA28" s="51"/>
      <c r="AB28" s="242"/>
      <c r="AC28" s="249"/>
    </row>
    <row r="29" spans="1:29" ht="12.75">
      <c r="A29" s="89"/>
      <c r="B29" s="51"/>
      <c r="C29" s="90"/>
      <c r="D29" s="90"/>
      <c r="E29" s="51"/>
      <c r="F29" s="51"/>
      <c r="G29" s="51"/>
      <c r="H29" s="51"/>
      <c r="I29" s="51"/>
      <c r="J29" s="51"/>
      <c r="K29" s="51"/>
      <c r="L29" s="51"/>
      <c r="M29" s="51"/>
      <c r="N29" s="51"/>
      <c r="O29" s="51"/>
      <c r="P29" s="51"/>
      <c r="Q29" s="51"/>
      <c r="R29" s="51"/>
      <c r="S29" s="51"/>
      <c r="T29" s="51"/>
      <c r="U29" s="51"/>
      <c r="V29" s="51"/>
      <c r="W29" s="51"/>
      <c r="X29" s="51"/>
      <c r="Y29" s="51"/>
      <c r="Z29" s="51"/>
      <c r="AA29" s="51"/>
      <c r="AB29" s="242"/>
      <c r="AC29" s="249"/>
    </row>
    <row r="30" spans="1:29" ht="12.75">
      <c r="A30" s="93"/>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242"/>
      <c r="AC30" s="249"/>
    </row>
    <row r="31" spans="1:29" ht="12.75">
      <c r="A31" s="93"/>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242"/>
      <c r="AC31" s="249"/>
    </row>
    <row r="32" spans="1:29" ht="13.5" thickBot="1">
      <c r="A32" s="94"/>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385"/>
      <c r="AC32" s="386"/>
    </row>
  </sheetData>
  <sheetProtection sheet="1" objects="1" scenarios="1"/>
  <printOptions/>
  <pageMargins left="0.75" right="0.75" top="1" bottom="1" header="0.5" footer="0.5"/>
  <pageSetup orientation="portrait" paperSize="9"/>
  <legacyDrawing r:id="rId1"/>
</worksheet>
</file>

<file path=xl/worksheets/sheet6.xml><?xml version="1.0" encoding="utf-8"?>
<worksheet xmlns="http://schemas.openxmlformats.org/spreadsheetml/2006/main" xmlns:r="http://schemas.openxmlformats.org/officeDocument/2006/relationships">
  <sheetPr codeName="Sheet6"/>
  <dimension ref="A1:AD110"/>
  <sheetViews>
    <sheetView zoomScalePageLayoutView="0" workbookViewId="0" topLeftCell="A1">
      <selection activeCell="G3" sqref="G3"/>
    </sheetView>
  </sheetViews>
  <sheetFormatPr defaultColWidth="9.140625" defaultRowHeight="12.75"/>
  <cols>
    <col min="1" max="1" width="3.00390625" style="176" customWidth="1"/>
    <col min="2" max="2" width="6.421875" style="176" customWidth="1"/>
    <col min="3" max="3" width="5.140625" style="176" customWidth="1"/>
    <col min="4" max="8" width="9.140625" style="176" customWidth="1"/>
    <col min="9" max="10" width="1.1484375" style="176" customWidth="1"/>
    <col min="11" max="18" width="0.9921875" style="176" customWidth="1"/>
    <col min="19" max="19" width="2.8515625" style="176" customWidth="1"/>
    <col min="20" max="20" width="9.140625" style="176" customWidth="1"/>
    <col min="21" max="21" width="2.00390625" style="176" customWidth="1"/>
    <col min="22" max="22" width="2.8515625" style="176" customWidth="1"/>
    <col min="23" max="23" width="9.140625" style="176" customWidth="1"/>
    <col min="24" max="24" width="4.00390625" style="176" customWidth="1"/>
    <col min="25" max="25" width="9.140625" style="562" customWidth="1"/>
  </cols>
  <sheetData>
    <row r="1" spans="1:24" ht="13.5" thickBot="1">
      <c r="A1" s="197" t="s">
        <v>188</v>
      </c>
      <c r="B1" s="198"/>
      <c r="C1" s="198"/>
      <c r="D1" s="198"/>
      <c r="E1" s="198"/>
      <c r="F1" s="198"/>
      <c r="G1" s="198"/>
      <c r="H1" s="198"/>
      <c r="I1" s="198"/>
      <c r="J1" s="198"/>
      <c r="K1" s="198"/>
      <c r="L1" s="198"/>
      <c r="M1" s="198"/>
      <c r="N1" s="198"/>
      <c r="O1" s="198"/>
      <c r="P1" s="198"/>
      <c r="Q1" s="198"/>
      <c r="R1" s="198"/>
      <c r="S1" s="198"/>
      <c r="T1" s="198"/>
      <c r="U1" s="198"/>
      <c r="V1" s="198"/>
      <c r="W1" s="198"/>
      <c r="X1" s="199"/>
    </row>
    <row r="2" spans="1:30" ht="12.75">
      <c r="A2" s="200" t="s">
        <v>211</v>
      </c>
      <c r="B2" s="183"/>
      <c r="C2" s="183"/>
      <c r="D2" s="201" t="str">
        <f>IF(E2=0,"BRIEF","FULL")</f>
        <v>BRIEF</v>
      </c>
      <c r="E2" s="202">
        <v>0</v>
      </c>
      <c r="F2" s="547"/>
      <c r="G2" s="547"/>
      <c r="H2" s="182"/>
      <c r="I2" s="183"/>
      <c r="J2" s="183"/>
      <c r="K2" s="183"/>
      <c r="L2" s="183"/>
      <c r="M2" s="183"/>
      <c r="N2" s="183"/>
      <c r="O2" s="183"/>
      <c r="P2" s="183"/>
      <c r="Q2" s="183"/>
      <c r="R2" s="183"/>
      <c r="S2" s="183"/>
      <c r="T2" s="183"/>
      <c r="U2" s="183"/>
      <c r="V2" s="183"/>
      <c r="W2" s="183"/>
      <c r="X2" s="203"/>
      <c r="AD2">
        <v>0</v>
      </c>
    </row>
    <row r="3" spans="1:24" ht="12.75">
      <c r="A3" s="204" t="s">
        <v>212</v>
      </c>
      <c r="B3" s="205"/>
      <c r="C3" s="206"/>
      <c r="D3" s="207"/>
      <c r="E3" s="208"/>
      <c r="F3" s="207"/>
      <c r="G3" s="209"/>
      <c r="H3" s="210"/>
      <c r="I3" s="210"/>
      <c r="J3" s="210"/>
      <c r="K3" s="210"/>
      <c r="L3" s="210"/>
      <c r="M3" s="211"/>
      <c r="N3" s="210"/>
      <c r="O3" s="210"/>
      <c r="P3" s="210"/>
      <c r="Q3" s="212"/>
      <c r="R3" s="210"/>
      <c r="S3" s="213"/>
      <c r="T3" s="214"/>
      <c r="U3" s="215"/>
      <c r="V3" s="216"/>
      <c r="W3" s="217"/>
      <c r="X3" s="218"/>
    </row>
    <row r="4" spans="1:24" ht="12.75">
      <c r="A4" s="219"/>
      <c r="B4" s="220"/>
      <c r="C4" s="171" t="s">
        <v>213</v>
      </c>
      <c r="D4" s="183" t="s">
        <v>214</v>
      </c>
      <c r="E4" s="548"/>
      <c r="F4" s="548"/>
      <c r="G4" s="548"/>
      <c r="H4" s="548"/>
      <c r="I4" s="548"/>
      <c r="J4" s="548"/>
      <c r="K4" s="548"/>
      <c r="L4" s="548"/>
      <c r="M4" s="171"/>
      <c r="N4" s="184"/>
      <c r="O4" s="184"/>
      <c r="P4" s="184"/>
      <c r="Q4" s="221"/>
      <c r="R4" s="184"/>
      <c r="S4" s="222"/>
      <c r="T4" s="223" t="s">
        <v>215</v>
      </c>
      <c r="U4" s="224"/>
      <c r="V4" s="225"/>
      <c r="W4" s="171" t="s">
        <v>216</v>
      </c>
      <c r="X4" s="181"/>
    </row>
    <row r="5" spans="1:24" ht="12.75">
      <c r="A5" s="226">
        <v>5</v>
      </c>
      <c r="B5" s="220" t="str">
        <f>IF(T5="","x5","b1")</f>
        <v>b1</v>
      </c>
      <c r="C5" s="529" t="str">
        <f>IF(B5="x5","","B1")</f>
        <v>B1</v>
      </c>
      <c r="D5" s="530" t="str">
        <f>IF(OR($E$2=1,'DB'!$EH$4="DD",AND('DB'!$EJ$4='DB'!$EH$4,'DB'!$FG$4='DB'!$FF$4)),"Minimum convex polygon or similar boundary (EOO) (km2) of:","")</f>
        <v>Minimum convex polygon or similar boundary (EOO) (km2) of:</v>
      </c>
      <c r="E5" s="531"/>
      <c r="F5" s="530"/>
      <c r="G5" s="532"/>
      <c r="H5" s="533"/>
      <c r="I5" s="533"/>
      <c r="J5" s="533"/>
      <c r="K5" s="533"/>
      <c r="L5" s="533"/>
      <c r="M5" s="534"/>
      <c r="N5" s="533"/>
      <c r="O5" s="533"/>
      <c r="P5" s="533"/>
      <c r="Q5" s="533"/>
      <c r="R5" s="533"/>
      <c r="S5" s="542"/>
      <c r="T5" s="536">
        <f>IF(D5="","",'DB'!$AH$4)</f>
        <v>0</v>
      </c>
      <c r="U5" s="537"/>
      <c r="V5" s="544" t="str">
        <f>IF(W5="","","&lt;")</f>
        <v>&lt;</v>
      </c>
      <c r="W5" s="538" t="str">
        <f>IF(T5="","",IF('DB'!$FI$4=3,"2,000 (CR)",IF('DB'!$FI$4=2,"20,000 (EN)","50,000 (VU)")))</f>
        <v>2,000 (CR)</v>
      </c>
      <c r="X5" s="227"/>
    </row>
    <row r="6" spans="1:24" ht="12.75">
      <c r="A6" s="226">
        <v>7</v>
      </c>
      <c r="B6" s="220" t="str">
        <f>IF(T6="","x7","b3")</f>
        <v>b3</v>
      </c>
      <c r="C6" s="539" t="str">
        <f>IF(B6="x7","","   B1b")</f>
        <v>   B1b</v>
      </c>
      <c r="D6" s="548"/>
      <c r="E6" s="530" t="str">
        <f>IF(OR($E$2=1,'DB'!$EH$4="DD",AND('DB'!$EJ$4='DB'!$EH$4,'DB'!$FG$4='DB'!$FF$4,'DB'!$FL$4&gt;='DB'!$FF$4)),"Degree of belief in threatening processes causing declines:","")</f>
        <v>Degree of belief in threatening processes causing declines:</v>
      </c>
      <c r="F6" s="530"/>
      <c r="G6" s="532"/>
      <c r="H6" s="533"/>
      <c r="I6" s="533"/>
      <c r="J6" s="533"/>
      <c r="K6" s="533"/>
      <c r="L6" s="533"/>
      <c r="M6" s="534"/>
      <c r="N6" s="533"/>
      <c r="O6" s="533"/>
      <c r="P6" s="533"/>
      <c r="Q6" s="533"/>
      <c r="R6" s="533"/>
      <c r="S6" s="542"/>
      <c r="T6" s="536" t="str">
        <f>IF(E6="","",'DB'!$BE$4)</f>
        <v>DD</v>
      </c>
      <c r="U6" s="537"/>
      <c r="V6" s="544" t="str">
        <f>IF(W6="","","&gt;")</f>
        <v>&gt;</v>
      </c>
      <c r="W6" s="538" t="str">
        <f>IF(T6="","","0.5")</f>
        <v>0.5</v>
      </c>
      <c r="X6" s="227"/>
    </row>
    <row r="7" spans="1:24" ht="12.75">
      <c r="A7" s="226">
        <v>31</v>
      </c>
      <c r="B7" s="220" t="str">
        <f>IF(T7="","x31","e1")</f>
        <v>x31</v>
      </c>
      <c r="C7" s="529">
        <f>IF(B7="x31","","E")</f>
      </c>
      <c r="D7" s="530">
        <f>IF(OR($E$2=1,'DB'!$EH$4="DD",AND(OR('DB'!$GB$4=3,'DB'!$GB$4=2),'DB'!$EM$4='DB'!$EH$4)),"Probability of ecosystem collapse within 50 years:","")</f>
      </c>
      <c r="E7" s="530"/>
      <c r="F7" s="530"/>
      <c r="G7" s="532"/>
      <c r="H7" s="533"/>
      <c r="I7" s="533"/>
      <c r="J7" s="533"/>
      <c r="K7" s="533"/>
      <c r="L7" s="533"/>
      <c r="M7" s="534"/>
      <c r="N7" s="533"/>
      <c r="O7" s="533"/>
      <c r="P7" s="533"/>
      <c r="Q7" s="533"/>
      <c r="R7" s="533"/>
      <c r="S7" s="535"/>
      <c r="T7" s="536">
        <f>IF(D7="","",'DB'!$EB$4)</f>
      </c>
      <c r="U7" s="537"/>
      <c r="V7" s="544">
        <f>IF(W7="","","&gt;")</f>
      </c>
      <c r="W7" s="538">
        <f>IF(T7="","",IF('DB'!$GB$4=3,"50% (CR)","20% (EN)"))</f>
      </c>
      <c r="X7" s="227"/>
    </row>
    <row r="8" spans="1:24" ht="12.75">
      <c r="A8" s="226">
        <v>1</v>
      </c>
      <c r="B8" s="220" t="str">
        <f>IF(T8="","x1","a1")</f>
        <v>x1</v>
      </c>
      <c r="C8" s="529">
        <f>IF(B8="x1","","A1")</f>
      </c>
      <c r="D8" s="530">
        <f>IF(OR($E$2=1,'DB'!$EH$4="DD",AND('DB'!$FA$4='DB'!$EZ$4,'DB'!$EI$4='DB'!$EH$4)),"Reduction in geographic distribution (%) over past 50 years of:","")</f>
      </c>
      <c r="E8" s="531"/>
      <c r="F8" s="530"/>
      <c r="G8" s="532"/>
      <c r="H8" s="533"/>
      <c r="I8" s="533"/>
      <c r="J8" s="533"/>
      <c r="K8" s="533"/>
      <c r="L8" s="533"/>
      <c r="M8" s="534"/>
      <c r="N8" s="533"/>
      <c r="O8" s="533"/>
      <c r="P8" s="533"/>
      <c r="Q8" s="541"/>
      <c r="R8" s="533"/>
      <c r="S8" s="542"/>
      <c r="T8" s="536">
        <f>IF(D8="","",'DB'!$O$4)</f>
      </c>
      <c r="U8" s="543"/>
      <c r="V8" s="544">
        <f>IF(W8="","","&gt;")</f>
      </c>
      <c r="W8" s="538">
        <f>IF(T8="","",IF('DB'!$FA$4=3,"80% (CR)",IF('DB'!$FA$4=2,"50% (EN)","30% (VU)")))</f>
      </c>
      <c r="X8" s="227"/>
    </row>
    <row r="9" spans="1:24" ht="12.75">
      <c r="A9" s="226">
        <v>10</v>
      </c>
      <c r="B9" s="220" t="str">
        <f>IF(T9="","x10","b6")</f>
        <v>b6</v>
      </c>
      <c r="C9" s="539" t="str">
        <f>IF(B9="x10","","   B2a")</f>
        <v>   B2a</v>
      </c>
      <c r="D9" s="548"/>
      <c r="E9" s="530" t="str">
        <f>IF(OR($E$2=1,'DB'!$EH$4="DD",AND('DB'!$EJ$4='DB'!$EH$4,'DB'!$FH$4='DB'!$FF$4,'DB'!$FK$4&gt;='DB'!$FF$4)),"Degree of belief in continuing decline:","")</f>
        <v>Degree of belief in continuing decline:</v>
      </c>
      <c r="F9" s="530"/>
      <c r="G9" s="532"/>
      <c r="H9" s="533"/>
      <c r="I9" s="533"/>
      <c r="J9" s="533"/>
      <c r="K9" s="533"/>
      <c r="L9" s="533"/>
      <c r="M9" s="534"/>
      <c r="N9" s="533"/>
      <c r="O9" s="533"/>
      <c r="P9" s="533"/>
      <c r="Q9" s="533"/>
      <c r="R9" s="533"/>
      <c r="S9" s="542"/>
      <c r="T9" s="536" t="str">
        <f>IF(E9="","",'DB'!$AR$4)</f>
        <v>DD</v>
      </c>
      <c r="U9" s="537"/>
      <c r="V9" s="544" t="str">
        <f>IF(W9="","","&gt;")</f>
        <v>&gt;</v>
      </c>
      <c r="W9" s="538" t="str">
        <f>IF(T9="","","0.5")</f>
        <v>0.5</v>
      </c>
      <c r="X9" s="227"/>
    </row>
    <row r="10" spans="1:24" ht="12.75">
      <c r="A10" s="226">
        <v>11</v>
      </c>
      <c r="B10" s="220" t="str">
        <f>IF(T10="","x11","b7")</f>
        <v>b7</v>
      </c>
      <c r="C10" s="539" t="str">
        <f>IF(B10="x11","","   B2b")</f>
        <v>   B2b</v>
      </c>
      <c r="D10" s="548"/>
      <c r="E10" s="530" t="str">
        <f>IF(OR($E$2=1,'DB'!$EH$4="DD",AND('DB'!$EJ$4='DB'!$EH$4,'DB'!$FH$4='DB'!$FF$4,'DB'!$FL$4&gt;='DB'!$FF$4)),"Degree of belief in threatening processes causing declines:","")</f>
        <v>Degree of belief in threatening processes causing declines:</v>
      </c>
      <c r="F10" s="530"/>
      <c r="G10" s="532"/>
      <c r="H10" s="533"/>
      <c r="I10" s="533"/>
      <c r="J10" s="533"/>
      <c r="K10" s="533"/>
      <c r="L10" s="533"/>
      <c r="M10" s="534"/>
      <c r="N10" s="533"/>
      <c r="O10" s="533"/>
      <c r="P10" s="533"/>
      <c r="Q10" s="533"/>
      <c r="R10" s="533"/>
      <c r="S10" s="535"/>
      <c r="T10" s="536" t="str">
        <f>IF(E10="","",'DB'!$BE$4)</f>
        <v>DD</v>
      </c>
      <c r="U10" s="537"/>
      <c r="V10" s="544" t="str">
        <f>IF(W10="","","&gt;")</f>
        <v>&gt;</v>
      </c>
      <c r="W10" s="538" t="str">
        <f>IF(T10="","","0.5")</f>
        <v>0.5</v>
      </c>
      <c r="X10" s="227"/>
    </row>
    <row r="11" spans="1:24" ht="12.75">
      <c r="A11" s="226">
        <v>12</v>
      </c>
      <c r="B11" s="220" t="str">
        <f>IF(T11="","x12","b8")</f>
        <v>b8</v>
      </c>
      <c r="C11" s="539" t="str">
        <f>IF(B11="x12","","   B2c")</f>
        <v>   B2c</v>
      </c>
      <c r="D11" s="548"/>
      <c r="E11" s="530" t="str">
        <f>IF(OR($E$2=1,'DB'!$EH$4="DD",AND('DB'!$EJ$4='DB'!$EH$4,'DB'!$FH$4='DB'!$FF$4,'DB'!$FM$4&gt;='DB'!$FF$4)),"Number of locations:","")</f>
        <v>Number of locations:</v>
      </c>
      <c r="F11" s="530"/>
      <c r="G11" s="532"/>
      <c r="H11" s="533"/>
      <c r="I11" s="533"/>
      <c r="J11" s="533"/>
      <c r="K11" s="533"/>
      <c r="L11" s="533"/>
      <c r="M11" s="534"/>
      <c r="N11" s="533"/>
      <c r="O11" s="533"/>
      <c r="P11" s="533"/>
      <c r="Q11" s="533"/>
      <c r="R11" s="533"/>
      <c r="S11" s="535"/>
      <c r="T11" s="536">
        <f>IF(E11="","",'DB'!$AV$4)</f>
        <v>0</v>
      </c>
      <c r="U11" s="537"/>
      <c r="V11" s="544" t="str">
        <f>IF(W11="","","&lt;")</f>
        <v>&lt;</v>
      </c>
      <c r="W11" s="538" t="str">
        <f>IF(T11="","",IF('DB'!$FJ$4=3,"1 (CR)",IF('DB'!$FJ$4=2,"5 (EN)","10 (VU)")))</f>
        <v>1 (CR)</v>
      </c>
      <c r="X11" s="227"/>
    </row>
    <row r="12" spans="1:24" ht="12.75">
      <c r="A12" s="226">
        <v>13</v>
      </c>
      <c r="B12" s="220" t="str">
        <f>IF(T12="","x13","b9")</f>
        <v>x13</v>
      </c>
      <c r="C12" s="529">
        <f>IF(B12="x13","","B3")</f>
      </c>
      <c r="D12" s="530">
        <f>IF(OR($E$2=1,'DB'!$EH$4="DD",AND('DB'!$EJ$4='DB'!$EH$4,'DB'!$FO$4='DB'!$FF$4)),"Degree of belief in very small number of locations:","")</f>
      </c>
      <c r="E12" s="540"/>
      <c r="F12" s="530"/>
      <c r="G12" s="532"/>
      <c r="H12" s="533"/>
      <c r="I12" s="533"/>
      <c r="J12" s="533"/>
      <c r="K12" s="533"/>
      <c r="L12" s="533"/>
      <c r="M12" s="534"/>
      <c r="N12" s="533"/>
      <c r="O12" s="533"/>
      <c r="P12" s="533"/>
      <c r="Q12" s="533"/>
      <c r="R12" s="533"/>
      <c r="S12" s="535"/>
      <c r="T12" s="536">
        <f>IF(D12="","",'DB'!$BA$4)</f>
      </c>
      <c r="U12" s="537"/>
      <c r="V12" s="544">
        <f>IF(W12="","","&gt;")</f>
      </c>
      <c r="W12" s="538">
        <f>IF(T12="","","0.5 (VU)")</f>
      </c>
      <c r="X12" s="228"/>
    </row>
    <row r="13" spans="1:24" ht="12.75">
      <c r="A13" s="226">
        <v>14</v>
      </c>
      <c r="B13" s="220" t="str">
        <f>IF(T13="","x14","b9.1")</f>
        <v>x14</v>
      </c>
      <c r="C13" s="539"/>
      <c r="D13" s="530">
        <f>IF(OR($E$2=1,'DB'!$EH$4="DD",AND('DB'!$EJ$4='DB'!$EH$4,'DB'!$FO$4='DB'!$FF$4)),"Degree of belief in subsceptibility to human activities/stochastic events:","")</f>
      </c>
      <c r="E13" s="540"/>
      <c r="F13" s="530"/>
      <c r="G13" s="532"/>
      <c r="H13" s="533"/>
      <c r="I13" s="533"/>
      <c r="J13" s="533"/>
      <c r="K13" s="533"/>
      <c r="L13" s="533"/>
      <c r="M13" s="534"/>
      <c r="N13" s="533"/>
      <c r="O13" s="533"/>
      <c r="P13" s="533"/>
      <c r="Q13" s="533"/>
      <c r="R13" s="533"/>
      <c r="S13" s="535"/>
      <c r="T13" s="536">
        <f>IF(D13="","",'DB'!$BJ$4)</f>
      </c>
      <c r="U13" s="537"/>
      <c r="V13" s="544">
        <f>IF(W13="","","&gt;")</f>
      </c>
      <c r="W13" s="538">
        <f>IF(T13="","","0.5 (VU)")</f>
      </c>
      <c r="X13" s="227"/>
    </row>
    <row r="14" spans="1:24" ht="12.75">
      <c r="A14" s="226">
        <v>15</v>
      </c>
      <c r="B14" s="220" t="str">
        <f>IF(T14="","x15","c1")</f>
        <v>x15</v>
      </c>
      <c r="C14" s="529">
        <f>IF(B14="x15","","C1")</f>
      </c>
      <c r="D14" s="530">
        <f>IF(OR($E$2=1,'DB'!$EH$4="DD",AND('DB'!$FP$4='DB'!$FQ$4,'DB'!$EK$4='DB'!$EH$4)),"Change in an environmental variable - past 50 years - extent (%)","")</f>
      </c>
      <c r="E14" s="530"/>
      <c r="F14" s="530"/>
      <c r="G14" s="532"/>
      <c r="H14" s="533"/>
      <c r="I14" s="533"/>
      <c r="J14" s="533"/>
      <c r="K14" s="533"/>
      <c r="L14" s="533"/>
      <c r="M14" s="534"/>
      <c r="N14" s="533"/>
      <c r="O14" s="533"/>
      <c r="P14" s="533"/>
      <c r="Q14" s="533"/>
      <c r="R14" s="533"/>
      <c r="S14" s="535"/>
      <c r="T14" s="536">
        <f>IF(D14="","",'DB'!$BN$4)</f>
      </c>
      <c r="U14" s="537"/>
      <c r="V14" s="544">
        <f>IF(W14="80% (CR)","&gt;","")</f>
      </c>
      <c r="W14" s="538">
        <f>IF(T14="","",IF('DB'!$FQ$4=3,"80% (CR)",IF('DB'!$FQ$4=2,"conditional (EN)","conditional (VU)")))</f>
      </c>
      <c r="X14" s="227"/>
    </row>
    <row r="15" spans="1:24" ht="12.75">
      <c r="A15" s="226">
        <v>16</v>
      </c>
      <c r="B15" s="220" t="str">
        <f>IF(T15="","x16","c2")</f>
        <v>x16</v>
      </c>
      <c r="C15" s="539"/>
      <c r="D15" s="530">
        <f>IF(OR($E$2=1,'DB'!$EH$4="DD",AND('DB'!$FP$4='DB'!$FQ$4,'DB'!$EK$4='DB'!$EH$4)),"Change in an environmental variable - past 50 years - severity (%)","")</f>
      </c>
      <c r="E15" s="530"/>
      <c r="F15" s="530"/>
      <c r="G15" s="532"/>
      <c r="H15" s="533"/>
      <c r="I15" s="533"/>
      <c r="J15" s="533"/>
      <c r="K15" s="533"/>
      <c r="L15" s="533"/>
      <c r="M15" s="534"/>
      <c r="N15" s="533"/>
      <c r="O15" s="533"/>
      <c r="P15" s="533"/>
      <c r="Q15" s="533"/>
      <c r="R15" s="533"/>
      <c r="S15" s="535"/>
      <c r="T15" s="536">
        <f>IF(D15="","",'DB'!$BQ$4)</f>
      </c>
      <c r="U15" s="537"/>
      <c r="V15" s="544">
        <f>IF(W15="80% (CR)","&gt;","")</f>
      </c>
      <c r="W15" s="538">
        <f>IF(T15="","",IF('DB'!$FQ$4=3,"80% (CR)",IF('DB'!$FQ$4=2,"conditional (EN)","conditional (VU)")))</f>
      </c>
      <c r="X15" s="227"/>
    </row>
    <row r="16" spans="1:24" ht="12.75">
      <c r="A16" s="226">
        <v>17</v>
      </c>
      <c r="B16" s="220" t="str">
        <f>IF(T16="","x17","c3")</f>
        <v>x17</v>
      </c>
      <c r="C16" s="563">
        <f>IF(B16="x17","","C2a")</f>
      </c>
      <c r="D16" s="530">
        <f>IF(OR($E$2=1,'DB'!$EH$4="DD",AND('DB'!$FP$4='DB'!$FS$4,'DB'!$EK$4='DB'!$EH$4)),"Change in an environmental variable - next 50 years - extent (%)","")</f>
      </c>
      <c r="E16" s="531"/>
      <c r="F16" s="530"/>
      <c r="G16" s="532"/>
      <c r="H16" s="533"/>
      <c r="I16" s="533"/>
      <c r="J16" s="533"/>
      <c r="K16" s="533"/>
      <c r="L16" s="533"/>
      <c r="M16" s="534"/>
      <c r="N16" s="533"/>
      <c r="O16" s="533"/>
      <c r="P16" s="533"/>
      <c r="Q16" s="533"/>
      <c r="R16" s="533"/>
      <c r="S16" s="535"/>
      <c r="T16" s="536">
        <f>IF(D16="","",'DB'!$BV$4)</f>
      </c>
      <c r="U16" s="537"/>
      <c r="V16" s="544">
        <f>IF(W16="80% (CR)","&gt;","")</f>
      </c>
      <c r="W16" s="538">
        <f>IF(T16="","",IF('DB'!$FS$4=3,"80% (CR)",IF('DB'!$FS$4=2,"conditional (EN)","conditional (VU)")))</f>
      </c>
      <c r="X16" s="228"/>
    </row>
    <row r="17" spans="1:24" ht="12.75">
      <c r="A17" s="226">
        <v>18</v>
      </c>
      <c r="B17" s="220" t="str">
        <f>IF(T17="","x18","c4")</f>
        <v>x18</v>
      </c>
      <c r="C17" s="539"/>
      <c r="D17" s="530">
        <f>IF(OR($E$2=1,'DB'!$EH$4="DD",AND('DB'!$FP$4='DB'!$FS$4,'DB'!$EK$4='DB'!$EH$4)),"Change in an environmental variable - next 50 years - severity (%)","")</f>
      </c>
      <c r="E17" s="540"/>
      <c r="F17" s="530"/>
      <c r="G17" s="532"/>
      <c r="H17" s="533"/>
      <c r="I17" s="533"/>
      <c r="J17" s="533"/>
      <c r="K17" s="533"/>
      <c r="L17" s="533"/>
      <c r="M17" s="534"/>
      <c r="N17" s="533"/>
      <c r="O17" s="533"/>
      <c r="P17" s="533"/>
      <c r="Q17" s="533"/>
      <c r="R17" s="533"/>
      <c r="S17" s="535"/>
      <c r="T17" s="536">
        <f>IF(D17="","",'DB'!$BY$4)</f>
      </c>
      <c r="U17" s="537"/>
      <c r="V17" s="544">
        <f>IF(W17="80% (CR)","&gt;","")</f>
      </c>
      <c r="W17" s="538">
        <f>IF(T17="","",IF('DB'!$FS$4=3,"80% (CR)",IF('DB'!$FS$4=2,"conditional (EN)","conditional (VU)")))</f>
      </c>
      <c r="X17" s="227"/>
    </row>
    <row r="18" spans="1:24" ht="12.75">
      <c r="A18" s="226">
        <v>19</v>
      </c>
      <c r="B18" s="220" t="str">
        <f>IF(T18="","x19","c5")</f>
        <v>x19</v>
      </c>
      <c r="C18" s="563">
        <f>IF(B18="x19","","C2b")</f>
      </c>
      <c r="D18" s="530">
        <f>IF(OR($E$2=1,'DB'!$EH$4="DD",AND('DB'!$FP$4='DB'!$FT$4,'DB'!$EK$4='DB'!$EH$4)),"Change in an environmental variable - any 50 years - extent (%)","")</f>
      </c>
      <c r="E18" s="530"/>
      <c r="F18" s="530"/>
      <c r="G18" s="532"/>
      <c r="H18" s="533"/>
      <c r="I18" s="533"/>
      <c r="J18" s="533"/>
      <c r="K18" s="533"/>
      <c r="L18" s="533"/>
      <c r="M18" s="534"/>
      <c r="N18" s="533"/>
      <c r="O18" s="533"/>
      <c r="P18" s="533"/>
      <c r="Q18" s="533"/>
      <c r="R18" s="533"/>
      <c r="S18" s="535"/>
      <c r="T18" s="536">
        <f>IF(D18="","",'DB'!$CD$4)</f>
      </c>
      <c r="U18" s="537"/>
      <c r="V18" s="544">
        <f>IF(W18="80% (CR)","&gt;","")</f>
      </c>
      <c r="W18" s="538">
        <f>IF(T18="","",IF('DB'!$FT$4=3,"80% (CR)",IF('DB'!$FT$4=2,"conditional (EN)","conditional (VU)")))</f>
      </c>
      <c r="X18" s="227"/>
    </row>
    <row r="19" spans="1:24" ht="12.75">
      <c r="A19" s="226">
        <v>2</v>
      </c>
      <c r="B19" s="220" t="str">
        <f>IF(T19="","x2","a2")</f>
        <v>x2</v>
      </c>
      <c r="C19" s="529">
        <f>IF(B19="x2","","A2a")</f>
      </c>
      <c r="D19" s="530">
        <f>IF(OR($E$2=1,'DB'!$EH$4="DD",AND('DB'!$FC$4='DB'!$EZ$4,'DB'!$EI$4='DB'!$EH$4)),"Reduction in geographic distribution (%) over next 50 years of:","")</f>
      </c>
      <c r="E19" s="531"/>
      <c r="F19" s="530"/>
      <c r="G19" s="532"/>
      <c r="H19" s="533"/>
      <c r="I19" s="533"/>
      <c r="J19" s="533"/>
      <c r="K19" s="533"/>
      <c r="L19" s="533"/>
      <c r="M19" s="534"/>
      <c r="N19" s="533"/>
      <c r="O19" s="533"/>
      <c r="P19" s="533"/>
      <c r="Q19" s="533"/>
      <c r="R19" s="533"/>
      <c r="S19" s="542"/>
      <c r="T19" s="536">
        <f>IF(D19="","",'DB'!$T$4)</f>
      </c>
      <c r="U19" s="543"/>
      <c r="V19" s="544">
        <f>IF(W19="","","&gt;")</f>
      </c>
      <c r="W19" s="538">
        <f>IF(T19="","",IF('DB'!$FC$4=3,"80% (CR)",IF('DB'!$FC$4=2,"50% (EN)","30% (VU)")))</f>
      </c>
      <c r="X19" s="227"/>
    </row>
    <row r="20" spans="1:24" ht="12.75">
      <c r="A20" s="226">
        <v>20</v>
      </c>
      <c r="B20" s="220" t="str">
        <f>IF(W20="","x20","c6")</f>
        <v>x20</v>
      </c>
      <c r="C20" s="539"/>
      <c r="D20" s="530">
        <f>IF(OR($E$2=1,'DB'!$EH$4="DD",AND('DB'!$FP$4='DB'!$FT$4,'DB'!$EK$4='DB'!$EH$4)),"Change in an environmental variable - any 50 years - severity (%)","")</f>
      </c>
      <c r="E20" s="530"/>
      <c r="F20" s="530"/>
      <c r="G20" s="532"/>
      <c r="H20" s="533"/>
      <c r="I20" s="533"/>
      <c r="J20" s="533"/>
      <c r="K20" s="533"/>
      <c r="L20" s="533"/>
      <c r="M20" s="534"/>
      <c r="N20" s="533"/>
      <c r="O20" s="533"/>
      <c r="P20" s="533"/>
      <c r="Q20" s="533"/>
      <c r="R20" s="533"/>
      <c r="S20" s="535"/>
      <c r="T20" s="536">
        <f>IF(D20="","",'DB'!$CG$4)</f>
      </c>
      <c r="U20" s="537"/>
      <c r="V20" s="544">
        <f>IF(W20="80% (CR)","&gt;","")</f>
      </c>
      <c r="W20" s="538">
        <f>IF(T20="","",IF('DB'!$FT$4=3,"80% (CR)",IF('DB'!$FT$4=2,"conditional (EN)","conditional (VU)")))</f>
      </c>
      <c r="X20" s="227"/>
    </row>
    <row r="21" spans="1:24" ht="12.75">
      <c r="A21" s="226">
        <v>21</v>
      </c>
      <c r="B21" s="220" t="str">
        <f>IF(W21="","x21","c7")</f>
        <v>x21</v>
      </c>
      <c r="C21" s="563">
        <f>IF(B21="x21","","C3")</f>
      </c>
      <c r="D21" s="530">
        <f>IF(OR($E$2=1,'DB'!$EH$4="DD",AND('DB'!$FP$4='DB'!$FU$4,'DB'!$EK$4='DB'!$EH$4)),"Change in an environmental variable - since 1750 - extent (%)","")</f>
      </c>
      <c r="E21" s="530"/>
      <c r="F21" s="530"/>
      <c r="G21" s="532"/>
      <c r="H21" s="533"/>
      <c r="I21" s="533"/>
      <c r="J21" s="533"/>
      <c r="K21" s="533"/>
      <c r="L21" s="533"/>
      <c r="M21" s="534"/>
      <c r="N21" s="533"/>
      <c r="O21" s="533"/>
      <c r="P21" s="533"/>
      <c r="Q21" s="533"/>
      <c r="R21" s="533"/>
      <c r="S21" s="535"/>
      <c r="T21" s="536">
        <f>IF(D21="","",'DB'!$CM$4)</f>
      </c>
      <c r="U21" s="537"/>
      <c r="V21" s="544">
        <f>IF(W21="90% (CR)","&gt;","")</f>
      </c>
      <c r="W21" s="538">
        <f>IF(T21="","",IF('DB'!$FU$4=3,"90% (CR)",IF('DB'!$FU$4=2,"conditional (EN)","conditional (VU)")))</f>
      </c>
      <c r="X21" s="227"/>
    </row>
    <row r="22" spans="1:24" ht="12.75">
      <c r="A22" s="226">
        <v>22</v>
      </c>
      <c r="B22" s="220" t="str">
        <f>IF(T22="","x22","c8")</f>
        <v>x22</v>
      </c>
      <c r="C22" s="539"/>
      <c r="D22" s="530">
        <f>IF(OR($E$2=1,'DB'!$EH$4="DD",AND('DB'!$FP$4='DB'!$FU$4,'DB'!$EK$4='DB'!$EH$4)),"Change in an environmental variable - since 1750 - severity (%)","")</f>
      </c>
      <c r="E22" s="530"/>
      <c r="F22" s="530"/>
      <c r="G22" s="532"/>
      <c r="H22" s="533"/>
      <c r="I22" s="533"/>
      <c r="J22" s="533"/>
      <c r="K22" s="533"/>
      <c r="L22" s="533"/>
      <c r="M22" s="534"/>
      <c r="N22" s="533"/>
      <c r="O22" s="533"/>
      <c r="P22" s="533"/>
      <c r="Q22" s="533"/>
      <c r="R22" s="533"/>
      <c r="S22" s="535"/>
      <c r="T22" s="536">
        <f>IF(D22="","",'DB'!$CP$4)</f>
      </c>
      <c r="U22" s="537"/>
      <c r="V22" s="544">
        <f>IF(W22="90% (CR)","&gt;","")</f>
      </c>
      <c r="W22" s="538">
        <f>IF(T22="","",IF('DB'!$FU$4=3,"90% (CR)",IF('DB'!$FU$4=2,"conditional (EN)","conditional (VU)")))</f>
      </c>
      <c r="X22" s="227"/>
    </row>
    <row r="23" spans="1:24" ht="12.75">
      <c r="A23" s="226">
        <v>23</v>
      </c>
      <c r="B23" s="220" t="str">
        <f>IF(T23="","x23","d1")</f>
        <v>x23</v>
      </c>
      <c r="C23" s="529">
        <f>IF(B23="x23","","D1")</f>
      </c>
      <c r="D23" s="530">
        <f>IF(OR($E$2=1,'DB'!$EH$4="DD",AND('DB'!$FV$4='DB'!$FW$4,'DB'!$EL$4='DB'!$EH$4)),"Disruption of biotic interactions - past 50 years - extent (%)","")</f>
      </c>
      <c r="E23" s="530"/>
      <c r="F23" s="530"/>
      <c r="G23" s="532"/>
      <c r="H23" s="533"/>
      <c r="I23" s="533"/>
      <c r="J23" s="533"/>
      <c r="K23" s="533"/>
      <c r="L23" s="533"/>
      <c r="M23" s="534"/>
      <c r="N23" s="533"/>
      <c r="O23" s="533"/>
      <c r="P23" s="533"/>
      <c r="Q23" s="533"/>
      <c r="R23" s="533"/>
      <c r="S23" s="535"/>
      <c r="T23" s="536">
        <f>IF(D23="","",'DB'!$CU$4)</f>
      </c>
      <c r="U23" s="537"/>
      <c r="V23" s="544">
        <f aca="true" t="shared" si="0" ref="V23:V28">IF(W23="80% (CR)","&gt;","")</f>
      </c>
      <c r="W23" s="538">
        <f>IF(T23="","",IF('DB'!$FW$4=3,"80% (CR)",IF('DB'!$FW$4=2,"conditional (EN)","conditional (VU)")))</f>
      </c>
      <c r="X23" s="227"/>
    </row>
    <row r="24" spans="1:24" ht="12.75">
      <c r="A24" s="226">
        <v>24</v>
      </c>
      <c r="B24" s="220" t="str">
        <f>IF(T24="","x24","d2")</f>
        <v>x24</v>
      </c>
      <c r="C24" s="539"/>
      <c r="D24" s="530">
        <f>IF(OR($E$2=1,'DB'!$EH$4="DD",AND('DB'!$FV$4='DB'!$FW$4,'DB'!$EL$4='DB'!$EH$4)),"Disruption of biotic interactions - past 50 years - severity (%)","")</f>
      </c>
      <c r="E24" s="530"/>
      <c r="F24" s="530"/>
      <c r="G24" s="532"/>
      <c r="H24" s="533"/>
      <c r="I24" s="533"/>
      <c r="J24" s="533"/>
      <c r="K24" s="533"/>
      <c r="L24" s="533"/>
      <c r="M24" s="534"/>
      <c r="N24" s="533"/>
      <c r="O24" s="533"/>
      <c r="P24" s="533"/>
      <c r="Q24" s="533"/>
      <c r="R24" s="533"/>
      <c r="S24" s="535"/>
      <c r="T24" s="536">
        <f>IF(D24="","",'DB'!$CX$4)</f>
      </c>
      <c r="U24" s="545"/>
      <c r="V24" s="544">
        <f t="shared" si="0"/>
      </c>
      <c r="W24" s="538">
        <f>IF(T24="","",IF('DB'!$FW$4=3,"80% (CR)",IF('DB'!$FW$4=2,"conditional (EN)","conditional (VU)")))</f>
      </c>
      <c r="X24" s="227"/>
    </row>
    <row r="25" spans="1:24" ht="12.75">
      <c r="A25" s="226">
        <v>25</v>
      </c>
      <c r="B25" s="220" t="str">
        <f>IF(T25="","x25","d3")</f>
        <v>x25</v>
      </c>
      <c r="C25" s="563">
        <f>IF(B25="x25","","D2a")</f>
      </c>
      <c r="D25" s="530">
        <f>IF(OR($E$2=1,'DB'!$EH$4="DD",AND('DB'!$FV$4='DB'!$FY$4,'DB'!$EL$4='DB'!$EH$4)),"Disruption of biotic interactions - next 50 years - extent (%)","")</f>
      </c>
      <c r="E25" s="530"/>
      <c r="F25" s="530"/>
      <c r="G25" s="532"/>
      <c r="H25" s="533"/>
      <c r="I25" s="533"/>
      <c r="J25" s="533"/>
      <c r="K25" s="533"/>
      <c r="L25" s="533"/>
      <c r="M25" s="534"/>
      <c r="N25" s="533"/>
      <c r="O25" s="533"/>
      <c r="P25" s="533"/>
      <c r="Q25" s="533"/>
      <c r="R25" s="533"/>
      <c r="S25" s="535"/>
      <c r="T25" s="536">
        <f>IF(D25="","",'DB'!$DC$4)</f>
      </c>
      <c r="U25" s="537"/>
      <c r="V25" s="544">
        <f t="shared" si="0"/>
      </c>
      <c r="W25" s="538">
        <f>IF(T25="","",IF('DB'!$FY$4=3,"80% (CR)",IF('DB'!$FY$4=2,"conditional (EN)","conditional (VU)")))</f>
      </c>
      <c r="X25" s="227"/>
    </row>
    <row r="26" spans="1:24" ht="12.75">
      <c r="A26" s="226">
        <v>26</v>
      </c>
      <c r="B26" s="220" t="str">
        <f>IF(T26="","x26","d4")</f>
        <v>x26</v>
      </c>
      <c r="C26" s="539"/>
      <c r="D26" s="530">
        <f>IF(OR($E$2=1,'DB'!$EH$4="DD",AND('DB'!$FV$4='DB'!$FY$4,'DB'!$EL$4='DB'!$EH$4)),"Disruption of biotic interactions - next 50 years - severity (%)","")</f>
      </c>
      <c r="E26" s="530"/>
      <c r="F26" s="530"/>
      <c r="G26" s="532"/>
      <c r="H26" s="533"/>
      <c r="I26" s="533"/>
      <c r="J26" s="533"/>
      <c r="K26" s="533"/>
      <c r="L26" s="533"/>
      <c r="M26" s="534"/>
      <c r="N26" s="533"/>
      <c r="O26" s="533"/>
      <c r="P26" s="533"/>
      <c r="Q26" s="533"/>
      <c r="R26" s="533"/>
      <c r="S26" s="535"/>
      <c r="T26" s="536">
        <f>IF(D26="","",'DB'!$DF$4)</f>
      </c>
      <c r="U26" s="537"/>
      <c r="V26" s="544">
        <f t="shared" si="0"/>
      </c>
      <c r="W26" s="538">
        <f>IF(T26="","",IF('DB'!$FY$4=3,"80% (CR)",IF('DB'!$FY$4=2,"conditional (EN)","conditional (VU)")))</f>
      </c>
      <c r="X26" s="227"/>
    </row>
    <row r="27" spans="1:24" ht="12.75">
      <c r="A27" s="226">
        <v>27</v>
      </c>
      <c r="B27" s="220" t="str">
        <f>IF(T27="","x27","d5")</f>
        <v>x27</v>
      </c>
      <c r="C27" s="563">
        <f>IF(B27="x27","","D2b")</f>
      </c>
      <c r="D27" s="530">
        <f>IF(OR($E$2=1,'DB'!$EH$4="DD",AND('DB'!$FV$4='DB'!$FZ$4,'DB'!$EL$4='DB'!$EH$4)),"Disruption of biotic interactions - any 50 years - extent (%)","")</f>
      </c>
      <c r="E27" s="530"/>
      <c r="F27" s="530"/>
      <c r="G27" s="530"/>
      <c r="H27" s="530"/>
      <c r="I27" s="530"/>
      <c r="J27" s="530"/>
      <c r="K27" s="530"/>
      <c r="L27" s="530"/>
      <c r="M27" s="530"/>
      <c r="N27" s="530"/>
      <c r="O27" s="530"/>
      <c r="P27" s="530"/>
      <c r="Q27" s="530"/>
      <c r="R27" s="530"/>
      <c r="S27" s="535"/>
      <c r="T27" s="536">
        <f>IF(D27="","",'DB'!$DK$4)</f>
      </c>
      <c r="U27" s="537"/>
      <c r="V27" s="544">
        <f t="shared" si="0"/>
      </c>
      <c r="W27" s="538">
        <f>IF(T27="","",IF('DB'!$FZ$4=3,"80% (CR)",IF('DB'!$FZ$4=2,"conditional (EN)","conditional (VU)")))</f>
      </c>
      <c r="X27" s="227"/>
    </row>
    <row r="28" spans="1:24" ht="12.75">
      <c r="A28" s="226">
        <v>28</v>
      </c>
      <c r="B28" s="220" t="str">
        <f>IF(T28="","x28","d6")</f>
        <v>x28</v>
      </c>
      <c r="C28" s="539"/>
      <c r="D28" s="530">
        <f>IF(OR($E$2=1,'DB'!$EH$4="DD",AND('DB'!$FV$4='DB'!$FZ$4,'DB'!$EL$4='DB'!$EH$4)),"Disruption of biotic interactions - any 50 years - severity (%)","")</f>
      </c>
      <c r="E28" s="530"/>
      <c r="F28" s="530"/>
      <c r="G28" s="532"/>
      <c r="H28" s="533"/>
      <c r="I28" s="533"/>
      <c r="J28" s="533"/>
      <c r="K28" s="533"/>
      <c r="L28" s="533"/>
      <c r="M28" s="534"/>
      <c r="N28" s="533"/>
      <c r="O28" s="533"/>
      <c r="P28" s="533"/>
      <c r="Q28" s="533"/>
      <c r="R28" s="533"/>
      <c r="S28" s="535"/>
      <c r="T28" s="536">
        <f>IF(D28="","",'DB'!$DN$4)</f>
      </c>
      <c r="U28" s="546"/>
      <c r="V28" s="544">
        <f t="shared" si="0"/>
      </c>
      <c r="W28" s="538">
        <f>IF(T28="","",IF('DB'!$FZ$4=3,"80% (CR)",IF('DB'!$FZ$4=2,"conditional (EN)","conditional (VU)")))</f>
      </c>
      <c r="X28" s="227"/>
    </row>
    <row r="29" spans="1:24" ht="12.75">
      <c r="A29" s="226">
        <v>29</v>
      </c>
      <c r="B29" s="220" t="str">
        <f>IF(T29="","x29","d7")</f>
        <v>x29</v>
      </c>
      <c r="C29" s="563">
        <f>IF(B29="x29","","D3")</f>
      </c>
      <c r="D29" s="530">
        <f>IF(OR($E$2=1,'DB'!$EH$4="DD",AND('DB'!$FV$4='DB'!$GA$4,'DB'!$EL$4='DB'!$EH$4)),"Disruption of biotic interactions - since 1750 - extent (%)","")</f>
      </c>
      <c r="E29" s="530"/>
      <c r="F29" s="530"/>
      <c r="G29" s="532"/>
      <c r="H29" s="533"/>
      <c r="I29" s="533"/>
      <c r="J29" s="533"/>
      <c r="K29" s="533"/>
      <c r="L29" s="533"/>
      <c r="M29" s="534"/>
      <c r="N29" s="533"/>
      <c r="O29" s="533"/>
      <c r="P29" s="533"/>
      <c r="Q29" s="533"/>
      <c r="R29" s="533"/>
      <c r="S29" s="535"/>
      <c r="T29" s="536">
        <f>IF(D29="","",'DB'!$DT$4)</f>
      </c>
      <c r="U29" s="537"/>
      <c r="V29" s="544">
        <f>IF(W29="90% (CR)","&gt;","")</f>
      </c>
      <c r="W29" s="538">
        <f>IF(T29="","",IF('DB'!$GA$4=3,"90% (CR)",IF('DB'!$GA$4=2,"conditional (EN)","conditional (VU)")))</f>
      </c>
      <c r="X29" s="227"/>
    </row>
    <row r="30" spans="1:24" ht="12.75">
      <c r="A30" s="226">
        <v>3</v>
      </c>
      <c r="B30" s="220" t="str">
        <f>IF(T30="","x3","a3")</f>
        <v>x3</v>
      </c>
      <c r="C30" s="529">
        <f>IF(B30="x3","","A2b")</f>
      </c>
      <c r="D30" s="530">
        <f>IF(OR($E$2=1,'DB'!$EH$4="DD",AND('DB'!$FD$4='DB'!$EZ$4,'DB'!$EI$4='DB'!$EH$4)),"Reduction in geographic distribution (%) over any 50 year period of:","")</f>
      </c>
      <c r="E30" s="531"/>
      <c r="F30" s="530"/>
      <c r="G30" s="532"/>
      <c r="H30" s="533"/>
      <c r="I30" s="533"/>
      <c r="J30" s="533"/>
      <c r="K30" s="533"/>
      <c r="L30" s="533"/>
      <c r="M30" s="534"/>
      <c r="N30" s="533"/>
      <c r="O30" s="533"/>
      <c r="P30" s="533"/>
      <c r="Q30" s="533"/>
      <c r="R30" s="533"/>
      <c r="S30" s="542"/>
      <c r="T30" s="536">
        <f>IF(D30="","",'DB'!$Y$4)</f>
      </c>
      <c r="U30" s="537"/>
      <c r="V30" s="544">
        <f>IF(W30="","","&gt;")</f>
      </c>
      <c r="W30" s="538">
        <f>IF(T30="","",IF('DB'!$FD$4=3,"80% (CR)",IF('DB'!$FD$4=2,"50% (EN)","30% (VU)")))</f>
      </c>
      <c r="X30" s="227"/>
    </row>
    <row r="31" spans="1:24" ht="12.75">
      <c r="A31" s="226">
        <v>30</v>
      </c>
      <c r="B31" s="220" t="str">
        <f>IF(T31="","x30","d8")</f>
        <v>x30</v>
      </c>
      <c r="C31" s="539"/>
      <c r="D31" s="530">
        <f>IF(OR($E$2=1,'DB'!$EH$4="DD",AND('DB'!$FV$4='DB'!$GA$4,'DB'!$EL$4='DB'!$EH$4)),"Disruption of biotic interactions - since 1750 - severity (%)","")</f>
      </c>
      <c r="E31" s="548"/>
      <c r="F31" s="530"/>
      <c r="G31" s="532"/>
      <c r="H31" s="533"/>
      <c r="I31" s="533"/>
      <c r="J31" s="533"/>
      <c r="K31" s="533"/>
      <c r="L31" s="533"/>
      <c r="M31" s="534"/>
      <c r="N31" s="533"/>
      <c r="O31" s="533"/>
      <c r="P31" s="533"/>
      <c r="Q31" s="533"/>
      <c r="R31" s="533"/>
      <c r="S31" s="535"/>
      <c r="T31" s="536">
        <f>IF(D31="","",'DB'!$DW$4)</f>
      </c>
      <c r="U31" s="537"/>
      <c r="V31" s="544">
        <f>IF(W31="90% (CR)","&gt;","")</f>
      </c>
      <c r="W31" s="538">
        <f>IF(T31="","",IF('DB'!$GA$4=3,"90% (CR)",IF('DB'!$GA$4=2,"conditional (EN)","conditional (VU)")))</f>
      </c>
      <c r="X31" s="227"/>
    </row>
    <row r="32" spans="1:24" ht="12.75">
      <c r="A32" s="226">
        <v>32</v>
      </c>
      <c r="B32" s="220" t="str">
        <f>IF(W32="","x32","e2")</f>
        <v>x32</v>
      </c>
      <c r="C32" s="529">
        <f>IF(OR(B32="x32",C31="E"),"","E")</f>
      </c>
      <c r="D32" s="530">
        <f>IF(OR($E$2=1,'DB'!$EH$4="DD",AND('DB'!$GB$4=1,'DB'!$EM$4='DB'!$EH$4)),"Probability of ecosystem collapse within 100 years:","")</f>
      </c>
      <c r="E32" s="530"/>
      <c r="F32" s="530"/>
      <c r="G32" s="532"/>
      <c r="H32" s="533"/>
      <c r="I32" s="533"/>
      <c r="J32" s="533"/>
      <c r="K32" s="533"/>
      <c r="L32" s="533"/>
      <c r="M32" s="534"/>
      <c r="N32" s="533"/>
      <c r="O32" s="533"/>
      <c r="P32" s="533"/>
      <c r="Q32" s="533"/>
      <c r="R32" s="533"/>
      <c r="S32" s="535"/>
      <c r="T32" s="536">
        <f>IF(D32="","",'DB'!$EE$4)</f>
      </c>
      <c r="U32" s="537"/>
      <c r="V32" s="544">
        <f>IF(W32="","","&gt;")</f>
      </c>
      <c r="W32" s="538">
        <f>IF(T32="","","10% (VU)")</f>
      </c>
      <c r="X32" s="227"/>
    </row>
    <row r="33" spans="1:24" ht="12.75">
      <c r="A33" s="226">
        <v>4</v>
      </c>
      <c r="B33" s="220" t="str">
        <f>IF(T33="","x4","a4")</f>
        <v>x4</v>
      </c>
      <c r="C33" s="529">
        <f>IF(B33="x4","","A3")</f>
      </c>
      <c r="D33" s="530">
        <f>IF(OR($E$2=1,'DB'!$EH$4="DD",AND('DB'!$FE$4='DB'!$EZ$4,'DB'!$EI$4='DB'!$EH$4)),"Reduction in geographic distribution (%) since 1750 of:","")</f>
      </c>
      <c r="E33" s="531"/>
      <c r="F33" s="530"/>
      <c r="G33" s="532"/>
      <c r="H33" s="533"/>
      <c r="I33" s="533"/>
      <c r="J33" s="533"/>
      <c r="K33" s="533"/>
      <c r="L33" s="533"/>
      <c r="M33" s="534"/>
      <c r="N33" s="533"/>
      <c r="O33" s="533"/>
      <c r="P33" s="533"/>
      <c r="Q33" s="533"/>
      <c r="R33" s="533"/>
      <c r="S33" s="542"/>
      <c r="T33" s="536">
        <f>IF(D33="","",'DB'!$AE$4)</f>
      </c>
      <c r="U33" s="537"/>
      <c r="V33" s="544">
        <f>IF(W33="","","&gt;")</f>
      </c>
      <c r="W33" s="538">
        <f>IF(T33="","",IF('DB'!$FE$4=3,"80% (CR)",IF('DB'!$FE$4=2,"50% (EN)","30% (VU)")))</f>
      </c>
      <c r="X33" s="227"/>
    </row>
    <row r="34" spans="1:24" ht="12.75">
      <c r="A34" s="226">
        <v>6</v>
      </c>
      <c r="B34" s="220" t="str">
        <f>IF(T34="","x6","b2")</f>
        <v>b2</v>
      </c>
      <c r="C34" s="539" t="str">
        <f>IF(B34="x6","","   B1a")</f>
        <v>   B1a</v>
      </c>
      <c r="D34" s="548"/>
      <c r="E34" s="530" t="str">
        <f>IF(OR($E$2=1,'DB'!$EH$4="DD",AND('DB'!$EJ$4='DB'!$EH$4,'DB'!$FG$4='DB'!$FF$4,'DB'!$FK$4&gt;='DB'!$FF$4)),"Degree of belief in continuing decline:","")</f>
        <v>Degree of belief in continuing decline:</v>
      </c>
      <c r="F34" s="530"/>
      <c r="G34" s="532"/>
      <c r="H34" s="533"/>
      <c r="I34" s="533"/>
      <c r="J34" s="533"/>
      <c r="K34" s="533"/>
      <c r="L34" s="533"/>
      <c r="M34" s="534"/>
      <c r="N34" s="533"/>
      <c r="O34" s="533"/>
      <c r="P34" s="533"/>
      <c r="Q34" s="533"/>
      <c r="R34" s="533"/>
      <c r="S34" s="542"/>
      <c r="T34" s="536" t="str">
        <f>IF(E34="","",'DB'!$AR$4)</f>
        <v>DD</v>
      </c>
      <c r="U34" s="537"/>
      <c r="V34" s="544" t="str">
        <f>IF(W34="","","&gt;")</f>
        <v>&gt;</v>
      </c>
      <c r="W34" s="538" t="str">
        <f>IF(T34="","","0.5")</f>
        <v>0.5</v>
      </c>
      <c r="X34" s="227"/>
    </row>
    <row r="35" spans="1:24" ht="12.75">
      <c r="A35" s="226">
        <v>8</v>
      </c>
      <c r="B35" s="220" t="str">
        <f>IF(T35="","x8","b4")</f>
        <v>b4</v>
      </c>
      <c r="C35" s="539" t="str">
        <f>IF(B35="x8","","   B1c")</f>
        <v>   B1c</v>
      </c>
      <c r="D35" s="548"/>
      <c r="E35" s="530" t="str">
        <f>IF(OR($E$2=1,'DB'!$EH$4="DD",AND('DB'!$EJ$4='DB'!$EH$4,'DB'!$FG$4='DB'!$FF$4,'DB'!$FM$4&gt;='DB'!$FF$4)),"Number of locations:","")</f>
        <v>Number of locations:</v>
      </c>
      <c r="F35" s="530"/>
      <c r="G35" s="532"/>
      <c r="H35" s="533"/>
      <c r="I35" s="533"/>
      <c r="J35" s="533"/>
      <c r="K35" s="533"/>
      <c r="L35" s="533"/>
      <c r="M35" s="534"/>
      <c r="N35" s="533"/>
      <c r="O35" s="533"/>
      <c r="P35" s="533"/>
      <c r="Q35" s="533"/>
      <c r="R35" s="533"/>
      <c r="S35" s="542"/>
      <c r="T35" s="536">
        <f>IF(E35="","",'DB'!$AV$4)</f>
        <v>0</v>
      </c>
      <c r="U35" s="537"/>
      <c r="V35" s="544" t="str">
        <f>IF(W35="","","&lt;")</f>
        <v>&lt;</v>
      </c>
      <c r="W35" s="538" t="str">
        <f>IF(T35="","",IF('DB'!$FI$4=3,"1 (CR)",IF('DB'!$FI$4=2,"5 (EN)","10 (VU)")))</f>
        <v>1 (CR)</v>
      </c>
      <c r="X35" s="228"/>
    </row>
    <row r="36" spans="1:24" ht="12.75">
      <c r="A36" s="226">
        <v>9</v>
      </c>
      <c r="B36" s="220" t="str">
        <f>IF(T36="","x9","b5")</f>
        <v>b5</v>
      </c>
      <c r="C36" s="529" t="str">
        <f>IF(B36="x9","","B2")</f>
        <v>B2</v>
      </c>
      <c r="D36" s="530" t="str">
        <f>IF(OR($E$2=1,'DB'!$EH$4="DD",AND('DB'!$EJ$4='DB'!$EH$4,'DB'!$FH$4='DB'!$FF$4)),"Number of 10 x 10 km grid cells occupied (AOO):","")</f>
        <v>Number of 10 x 10 km grid cells occupied (AOO):</v>
      </c>
      <c r="E36" s="548"/>
      <c r="F36" s="530"/>
      <c r="G36" s="532"/>
      <c r="H36" s="533"/>
      <c r="I36" s="533"/>
      <c r="J36" s="533"/>
      <c r="K36" s="533"/>
      <c r="L36" s="533"/>
      <c r="M36" s="534"/>
      <c r="N36" s="533"/>
      <c r="O36" s="533"/>
      <c r="P36" s="533"/>
      <c r="Q36" s="533"/>
      <c r="R36" s="533"/>
      <c r="S36" s="542"/>
      <c r="T36" s="536">
        <f>IF(D36="","",'DB'!$AL$4)</f>
        <v>0</v>
      </c>
      <c r="U36" s="537"/>
      <c r="V36" s="544" t="str">
        <f>IF(W36="","","&lt;")</f>
        <v>&lt;</v>
      </c>
      <c r="W36" s="538" t="str">
        <f>IF(T36="","",IF('DB'!$FJ$4=3,"2 (CR)",IF('DB'!$FJ$4=2,"20 (EN)","50 (VU)")))</f>
        <v>2 (CR)</v>
      </c>
      <c r="X36" s="227"/>
    </row>
    <row r="37" spans="1:24" ht="12.75">
      <c r="A37" s="229"/>
      <c r="B37" s="230"/>
      <c r="C37" s="231"/>
      <c r="D37" s="549"/>
      <c r="E37" s="232"/>
      <c r="F37" s="232"/>
      <c r="G37" s="233"/>
      <c r="H37" s="234"/>
      <c r="I37" s="234"/>
      <c r="J37" s="234"/>
      <c r="K37" s="234"/>
      <c r="L37" s="234"/>
      <c r="M37" s="235"/>
      <c r="N37" s="234"/>
      <c r="O37" s="234"/>
      <c r="P37" s="234"/>
      <c r="Q37" s="234"/>
      <c r="R37" s="234"/>
      <c r="S37" s="236"/>
      <c r="T37" s="550"/>
      <c r="U37" s="237"/>
      <c r="V37" s="238"/>
      <c r="W37" s="239"/>
      <c r="X37" s="240"/>
    </row>
    <row r="38" spans="1:24" ht="12.75">
      <c r="A38" s="200" t="s">
        <v>211</v>
      </c>
      <c r="B38" s="183"/>
      <c r="C38" s="183"/>
      <c r="D38" s="201" t="str">
        <f>IF(E38=0,"BRIEF","FULL")</f>
        <v>BRIEF</v>
      </c>
      <c r="E38" s="202">
        <v>0</v>
      </c>
      <c r="F38" s="547"/>
      <c r="G38" s="547"/>
      <c r="H38" s="182"/>
      <c r="I38" s="183"/>
      <c r="J38" s="183"/>
      <c r="K38" s="183"/>
      <c r="L38" s="183"/>
      <c r="M38" s="183"/>
      <c r="N38" s="183"/>
      <c r="O38" s="183"/>
      <c r="P38" s="183"/>
      <c r="Q38" s="183"/>
      <c r="R38" s="183"/>
      <c r="S38" s="183"/>
      <c r="T38" s="183"/>
      <c r="U38" s="183"/>
      <c r="V38" s="183"/>
      <c r="W38" s="183"/>
      <c r="X38" s="203"/>
    </row>
    <row r="39" spans="1:24" ht="12.75">
      <c r="A39" s="204" t="s">
        <v>330</v>
      </c>
      <c r="B39" s="205"/>
      <c r="C39" s="206"/>
      <c r="D39" s="207"/>
      <c r="E39" s="208"/>
      <c r="F39" s="207"/>
      <c r="G39" s="209"/>
      <c r="H39" s="210"/>
      <c r="I39" s="210"/>
      <c r="J39" s="210"/>
      <c r="K39" s="210"/>
      <c r="L39" s="210"/>
      <c r="M39" s="211"/>
      <c r="N39" s="210"/>
      <c r="O39" s="210"/>
      <c r="P39" s="210"/>
      <c r="Q39" s="212"/>
      <c r="R39" s="210"/>
      <c r="S39" s="213"/>
      <c r="T39" s="214"/>
      <c r="U39" s="215"/>
      <c r="V39" s="216"/>
      <c r="W39" s="217"/>
      <c r="X39" s="218"/>
    </row>
    <row r="40" spans="1:24" ht="12.75">
      <c r="A40" s="219"/>
      <c r="B40" s="220"/>
      <c r="C40" s="171" t="s">
        <v>213</v>
      </c>
      <c r="D40" s="183" t="s">
        <v>214</v>
      </c>
      <c r="E40" s="548"/>
      <c r="F40" s="548"/>
      <c r="G40" s="548"/>
      <c r="H40" s="548"/>
      <c r="I40" s="548"/>
      <c r="J40" s="548"/>
      <c r="K40" s="548"/>
      <c r="L40" s="548"/>
      <c r="M40" s="171"/>
      <c r="N40" s="184"/>
      <c r="O40" s="184"/>
      <c r="P40" s="184"/>
      <c r="Q40" s="221"/>
      <c r="R40" s="184"/>
      <c r="S40" s="222"/>
      <c r="T40" s="223" t="s">
        <v>215</v>
      </c>
      <c r="U40" s="224"/>
      <c r="V40" s="225"/>
      <c r="W40" s="171" t="s">
        <v>216</v>
      </c>
      <c r="X40" s="181"/>
    </row>
    <row r="41" spans="1:24" ht="12.75">
      <c r="A41" s="226">
        <v>5</v>
      </c>
      <c r="B41" s="220" t="str">
        <f>IF(T41="","x5","b1")</f>
        <v>b1</v>
      </c>
      <c r="C41" s="529" t="str">
        <f>IF(B41="x5","","B1")</f>
        <v>B1</v>
      </c>
      <c r="D41" s="530" t="str">
        <f>IF(OR($E$38=1,'DB'!$EN$4="DD",AND('DB'!$EP$4='DB'!$EN$4,'DB'!$GJ$4='DB'!$GI$4)),"Minimum convex polygon or similar boundary (EOO) (km2) of:","")</f>
        <v>Minimum convex polygon or similar boundary (EOO) (km2) of:</v>
      </c>
      <c r="E41" s="531"/>
      <c r="F41" s="530"/>
      <c r="G41" s="532"/>
      <c r="H41" s="533"/>
      <c r="I41" s="533"/>
      <c r="J41" s="533"/>
      <c r="K41" s="533"/>
      <c r="L41" s="533"/>
      <c r="M41" s="534"/>
      <c r="N41" s="533"/>
      <c r="O41" s="533"/>
      <c r="P41" s="533"/>
      <c r="Q41" s="533"/>
      <c r="R41" s="533"/>
      <c r="S41" s="542"/>
      <c r="T41" s="536" t="str">
        <f>IF(D41="","",'DB'!$AI$4)</f>
        <v>DD</v>
      </c>
      <c r="U41" s="537"/>
      <c r="V41" s="544" t="str">
        <f>IF(W41="","","&lt;")</f>
        <v>&lt;</v>
      </c>
      <c r="W41" s="538" t="str">
        <f>IF(T41="","",IF('DB'!$FI$4=3,"2,000 (CR)",IF('DB'!$FI$4=2,"20,000 (EN)","50,000 (VU)")))</f>
        <v>2,000 (CR)</v>
      </c>
      <c r="X41" s="227"/>
    </row>
    <row r="42" spans="1:24" ht="12.75">
      <c r="A42" s="226">
        <v>7</v>
      </c>
      <c r="B42" s="220" t="str">
        <f>IF(T42="","x7","b3")</f>
        <v>b3</v>
      </c>
      <c r="C42" s="539" t="str">
        <f>IF(B42="x7","","   B1b")</f>
        <v>   B1b</v>
      </c>
      <c r="D42" s="548"/>
      <c r="E42" s="530" t="str">
        <f>IF(OR($E$38=1,'DB'!$EN$4="DD",AND('DB'!$EP$4='DB'!$EN$4,'DB'!$GJ$4='DB'!$GI$4,'DB'!$GO$4&gt;='DB'!$GI$4)),"Degree of belief in threatening processes causing declines:","")</f>
        <v>Degree of belief in threatening processes causing declines:</v>
      </c>
      <c r="F42" s="530"/>
      <c r="G42" s="532"/>
      <c r="H42" s="533"/>
      <c r="I42" s="533"/>
      <c r="J42" s="533"/>
      <c r="K42" s="533"/>
      <c r="L42" s="533"/>
      <c r="M42" s="534"/>
      <c r="N42" s="533"/>
      <c r="O42" s="533"/>
      <c r="P42" s="533"/>
      <c r="Q42" s="533"/>
      <c r="R42" s="533"/>
      <c r="S42" s="542"/>
      <c r="T42" s="536" t="str">
        <f>IF(E42="","",'DB'!$BD$4)</f>
        <v>DD</v>
      </c>
      <c r="U42" s="537"/>
      <c r="V42" s="544" t="str">
        <f>IF(W42="","","&gt;")</f>
        <v>&gt;</v>
      </c>
      <c r="W42" s="538" t="str">
        <f>IF(T42="","","0.5")</f>
        <v>0.5</v>
      </c>
      <c r="X42" s="227"/>
    </row>
    <row r="43" spans="1:24" ht="12.75">
      <c r="A43" s="226">
        <v>31</v>
      </c>
      <c r="B43" s="220" t="str">
        <f>IF(T43="","x31","e1")</f>
        <v>e1</v>
      </c>
      <c r="C43" s="529" t="str">
        <f>IF(B43="x31","","E")</f>
        <v>E</v>
      </c>
      <c r="D43" s="530" t="str">
        <f>IF(OR($E$38=1,'DB'!$EN$4="DD",AND(OR('DB'!$HE$4=3,'DB'!$HE$4=2),'DB'!$ES$4='DB'!$EN$4)),"Probability of ecosystem collapse within 50 years:","")</f>
        <v>Probability of ecosystem collapse within 50 years:</v>
      </c>
      <c r="E43" s="530"/>
      <c r="F43" s="530"/>
      <c r="G43" s="532"/>
      <c r="H43" s="533"/>
      <c r="I43" s="533"/>
      <c r="J43" s="533"/>
      <c r="K43" s="533"/>
      <c r="L43" s="533"/>
      <c r="M43" s="534"/>
      <c r="N43" s="533"/>
      <c r="O43" s="533"/>
      <c r="P43" s="533"/>
      <c r="Q43" s="533"/>
      <c r="R43" s="533"/>
      <c r="S43" s="535"/>
      <c r="T43" s="536" t="str">
        <f>IF(D43="","",'DB'!$EA$4)</f>
        <v>DD</v>
      </c>
      <c r="U43" s="537"/>
      <c r="V43" s="544" t="str">
        <f>IF(W43="","","&gt;")</f>
        <v>&gt;</v>
      </c>
      <c r="W43" s="538" t="str">
        <f>IF(T43="","",IF('DB'!$GB$4=3,"50% (CR)","20% (EN)"))</f>
        <v>20% (EN)</v>
      </c>
      <c r="X43" s="227"/>
    </row>
    <row r="44" spans="1:24" ht="12.75">
      <c r="A44" s="226">
        <v>1</v>
      </c>
      <c r="B44" s="220" t="str">
        <f>IF(T44="","x1","a1")</f>
        <v>a1</v>
      </c>
      <c r="C44" s="529" t="str">
        <f>IF(B44="x1","","A1")</f>
        <v>A1</v>
      </c>
      <c r="D44" s="530" t="str">
        <f>IF(OR($E$38=1,'DB'!$EN$4="DD",AND('DB'!$GD$4='DB'!$GC$4,'DB'!$EO$4='DB'!$EN$4)),"Reduction in geographic distribution (%) over past 50 years of:","")</f>
        <v>Reduction in geographic distribution (%) over past 50 years of:</v>
      </c>
      <c r="E44" s="531"/>
      <c r="F44" s="530"/>
      <c r="G44" s="532"/>
      <c r="H44" s="533"/>
      <c r="I44" s="533"/>
      <c r="J44" s="533"/>
      <c r="K44" s="533"/>
      <c r="L44" s="533"/>
      <c r="M44" s="534"/>
      <c r="N44" s="533"/>
      <c r="O44" s="533"/>
      <c r="P44" s="533"/>
      <c r="Q44" s="541"/>
      <c r="R44" s="533"/>
      <c r="S44" s="542"/>
      <c r="T44" s="536" t="str">
        <f>IF(D44="","",'DB'!$N$4)</f>
        <v>DD</v>
      </c>
      <c r="U44" s="543"/>
      <c r="V44" s="544" t="str">
        <f>IF(W44="","","&gt;")</f>
        <v>&gt;</v>
      </c>
      <c r="W44" s="538" t="str">
        <f>IF(T44="","",IF('DB'!$FA$4=3,"80% (CR)",IF('DB'!$FA$4=2,"50% (EN)","30% (VU)")))</f>
        <v>30% (VU)</v>
      </c>
      <c r="X44" s="228"/>
    </row>
    <row r="45" spans="1:24" ht="12.75">
      <c r="A45" s="226">
        <v>10</v>
      </c>
      <c r="B45" s="220" t="str">
        <f>IF(T45="","x10","b6")</f>
        <v>b6</v>
      </c>
      <c r="C45" s="539" t="str">
        <f>IF(B45="x10","","   B2a")</f>
        <v>   B2a</v>
      </c>
      <c r="D45" s="548"/>
      <c r="E45" s="530" t="str">
        <f>IF(OR($E$38=1,'DB'!$EN$4="DD",AND('DB'!$EP$4='DB'!$EN$4,'DB'!$GK$4='DB'!$GI$4,'DB'!$GN$4&gt;='DB'!$GI$4)),"Degree of belief in continuing decline:","")</f>
        <v>Degree of belief in continuing decline:</v>
      </c>
      <c r="F45" s="530"/>
      <c r="G45" s="532"/>
      <c r="H45" s="533"/>
      <c r="I45" s="533"/>
      <c r="J45" s="533"/>
      <c r="K45" s="533"/>
      <c r="L45" s="533"/>
      <c r="M45" s="534"/>
      <c r="N45" s="533"/>
      <c r="O45" s="533"/>
      <c r="P45" s="533"/>
      <c r="Q45" s="533"/>
      <c r="R45" s="533"/>
      <c r="S45" s="542"/>
      <c r="T45" s="536" t="str">
        <f>IF(E45="","",'DB'!$AQ$4)</f>
        <v>DD</v>
      </c>
      <c r="U45" s="537"/>
      <c r="V45" s="544" t="str">
        <f>IF(W45="","","&gt;")</f>
        <v>&gt;</v>
      </c>
      <c r="W45" s="538" t="str">
        <f>IF(T45="","","0.5")</f>
        <v>0.5</v>
      </c>
      <c r="X45" s="227"/>
    </row>
    <row r="46" spans="1:24" ht="12.75">
      <c r="A46" s="226">
        <v>11</v>
      </c>
      <c r="B46" s="220" t="str">
        <f>IF(T46="","x11","b7")</f>
        <v>b7</v>
      </c>
      <c r="C46" s="539" t="str">
        <f>IF(B46="x11","","   B2b")</f>
        <v>   B2b</v>
      </c>
      <c r="D46" s="548"/>
      <c r="E46" s="530" t="str">
        <f>IF(OR($E$38=1,'DB'!$EN$4="DD",AND('DB'!$EP$4='DB'!$EN$4,'DB'!$GK$4='DB'!$GI$4,'DB'!$GO$4&gt;='DB'!$GI$4)),"Degree of belief in threatening processes causing declines:","")</f>
        <v>Degree of belief in threatening processes causing declines:</v>
      </c>
      <c r="F46" s="530"/>
      <c r="G46" s="532"/>
      <c r="H46" s="533"/>
      <c r="I46" s="533"/>
      <c r="J46" s="533"/>
      <c r="K46" s="533"/>
      <c r="L46" s="533"/>
      <c r="M46" s="534"/>
      <c r="N46" s="533"/>
      <c r="O46" s="533"/>
      <c r="P46" s="533"/>
      <c r="Q46" s="533"/>
      <c r="R46" s="533"/>
      <c r="S46" s="535"/>
      <c r="T46" s="536" t="str">
        <f>IF(E46="","",'DB'!$BD$4)</f>
        <v>DD</v>
      </c>
      <c r="U46" s="537"/>
      <c r="V46" s="544" t="str">
        <f>IF(W46="","","&gt;")</f>
        <v>&gt;</v>
      </c>
      <c r="W46" s="538" t="str">
        <f>IF(T46="","","0.5")</f>
        <v>0.5</v>
      </c>
      <c r="X46" s="227"/>
    </row>
    <row r="47" spans="1:24" ht="12.75">
      <c r="A47" s="226">
        <v>12</v>
      </c>
      <c r="B47" s="220" t="str">
        <f>IF(T47="","x12","b8")</f>
        <v>b8</v>
      </c>
      <c r="C47" s="539" t="str">
        <f>IF(B47="x12","","   B2c")</f>
        <v>   B2c</v>
      </c>
      <c r="D47" s="548"/>
      <c r="E47" s="530" t="str">
        <f>IF(OR($E$38=1,'DB'!$EN$4="DD",AND('DB'!$EP$4='DB'!$EN$4,'DB'!$GK$4='DB'!$GI$4,'DB'!$GP$4&gt;='DB'!$GI$4)),"Number of locations:","")</f>
        <v>Number of locations:</v>
      </c>
      <c r="F47" s="530"/>
      <c r="G47" s="532"/>
      <c r="H47" s="533"/>
      <c r="I47" s="533"/>
      <c r="J47" s="533"/>
      <c r="K47" s="533"/>
      <c r="L47" s="533"/>
      <c r="M47" s="534"/>
      <c r="N47" s="533"/>
      <c r="O47" s="533"/>
      <c r="P47" s="533"/>
      <c r="Q47" s="533"/>
      <c r="R47" s="533"/>
      <c r="S47" s="535"/>
      <c r="T47" s="536" t="str">
        <f>IF(E47="","",'DB'!$AW$4)</f>
        <v>DD</v>
      </c>
      <c r="U47" s="537"/>
      <c r="V47" s="544" t="str">
        <f>IF(W47="","","&lt;")</f>
        <v>&lt;</v>
      </c>
      <c r="W47" s="538" t="str">
        <f>IF(T47="","",IF('DB'!$FJ$4=3,"1 (CR)",IF('DB'!$FJ$4=2,"5 (EN)","10 (VU)")))</f>
        <v>1 (CR)</v>
      </c>
      <c r="X47" s="227"/>
    </row>
    <row r="48" spans="1:24" ht="12.75">
      <c r="A48" s="226">
        <v>13</v>
      </c>
      <c r="B48" s="220" t="str">
        <f>IF(T48="","x13","b9")</f>
        <v>b9</v>
      </c>
      <c r="C48" s="529" t="str">
        <f>IF(B48="x13","","B3")</f>
        <v>B3</v>
      </c>
      <c r="D48" s="530" t="str">
        <f>IF(OR($E$38=1,'DB'!$EN$4="DD",AND('DB'!$EP$4='DB'!$EN$4,'DB'!$GR$4='DB'!$GI$4)),"Degree of belief in very small number of locations:","")</f>
        <v>Degree of belief in very small number of locations:</v>
      </c>
      <c r="E48" s="540"/>
      <c r="F48" s="530"/>
      <c r="G48" s="532"/>
      <c r="H48" s="533"/>
      <c r="I48" s="533"/>
      <c r="J48" s="533"/>
      <c r="K48" s="533"/>
      <c r="L48" s="533"/>
      <c r="M48" s="534"/>
      <c r="N48" s="533"/>
      <c r="O48" s="533"/>
      <c r="P48" s="533"/>
      <c r="Q48" s="533"/>
      <c r="R48" s="533"/>
      <c r="S48" s="535"/>
      <c r="T48" s="536" t="str">
        <f>IF(D48="","",'DB'!$AZ$4)</f>
        <v>DD</v>
      </c>
      <c r="U48" s="537"/>
      <c r="V48" s="544" t="str">
        <f>IF(W48="","","&gt;")</f>
        <v>&gt;</v>
      </c>
      <c r="W48" s="538" t="str">
        <f>IF(T48="","","0.5 (VU)")</f>
        <v>0.5 (VU)</v>
      </c>
      <c r="X48" s="227"/>
    </row>
    <row r="49" spans="1:24" ht="12.75">
      <c r="A49" s="226">
        <v>14</v>
      </c>
      <c r="B49" s="220" t="str">
        <f>IF(T49="","x14","b9.1")</f>
        <v>b9.1</v>
      </c>
      <c r="C49" s="539"/>
      <c r="D49" s="530" t="str">
        <f>IF(OR($E$38=1,'DB'!$EN$4="DD",AND('DB'!$EP$4='DB'!$EN$4,'DB'!$GR$4='DB'!$GI$4)),"Degree of belief in subsceptibility to human activities/stochastic events:","")</f>
        <v>Degree of belief in subsceptibility to human activities/stochastic events:</v>
      </c>
      <c r="E49" s="540"/>
      <c r="F49" s="530"/>
      <c r="G49" s="532"/>
      <c r="H49" s="533"/>
      <c r="I49" s="533"/>
      <c r="J49" s="533"/>
      <c r="K49" s="533"/>
      <c r="L49" s="533"/>
      <c r="M49" s="534"/>
      <c r="N49" s="533"/>
      <c r="O49" s="533"/>
      <c r="P49" s="533"/>
      <c r="Q49" s="533"/>
      <c r="R49" s="533"/>
      <c r="S49" s="535"/>
      <c r="T49" s="536" t="str">
        <f>IF(D49="","",'DB'!$BI$4)</f>
        <v>DD</v>
      </c>
      <c r="U49" s="537"/>
      <c r="V49" s="544" t="str">
        <f>IF(W49="","","&gt;")</f>
        <v>&gt;</v>
      </c>
      <c r="W49" s="538" t="str">
        <f>IF(T49="","","0.5 (VU)")</f>
        <v>0.5 (VU)</v>
      </c>
      <c r="X49" s="227"/>
    </row>
    <row r="50" spans="1:24" ht="12.75">
      <c r="A50" s="226">
        <v>15</v>
      </c>
      <c r="B50" s="220" t="str">
        <f>IF(T50="","x15","c1")</f>
        <v>c1</v>
      </c>
      <c r="C50" s="529" t="str">
        <f>IF(B50="x15","","C1")</f>
        <v>C1</v>
      </c>
      <c r="D50" s="530" t="str">
        <f>IF(OR($E$38=1,'DB'!$EN$4="DD",AND('DB'!$GS$4='DB'!$GT$4,'DB'!$EQ$4='DB'!$EN$4)),"Change in an environmental variable - past 50 years - extent (%)","")</f>
        <v>Change in an environmental variable - past 50 years - extent (%)</v>
      </c>
      <c r="E50" s="530"/>
      <c r="F50" s="530"/>
      <c r="G50" s="532"/>
      <c r="H50" s="533"/>
      <c r="I50" s="533"/>
      <c r="J50" s="533"/>
      <c r="K50" s="533"/>
      <c r="L50" s="533"/>
      <c r="M50" s="534"/>
      <c r="N50" s="533"/>
      <c r="O50" s="533"/>
      <c r="P50" s="533"/>
      <c r="Q50" s="533"/>
      <c r="R50" s="533"/>
      <c r="S50" s="535"/>
      <c r="T50" s="536" t="str">
        <f>IF(D50="","",'DB'!$BM$4)</f>
        <v>DD</v>
      </c>
      <c r="U50" s="537"/>
      <c r="V50" s="544">
        <f>IF(W50="80% (CR)","&gt;","")</f>
      </c>
      <c r="W50" s="538" t="str">
        <f>IF(T50="","",IF('DB'!$GT$4=3,"80% (CR)",IF('DB'!$GT$4=2,"conditional (EN)","conditional (VU)")))</f>
        <v>conditional (VU)</v>
      </c>
      <c r="X50" s="227"/>
    </row>
    <row r="51" spans="1:24" ht="12.75">
      <c r="A51" s="226">
        <v>16</v>
      </c>
      <c r="B51" s="220" t="str">
        <f>IF(T51="","x16","c2")</f>
        <v>c2</v>
      </c>
      <c r="C51" s="539"/>
      <c r="D51" s="530" t="str">
        <f>IF(OR($E$38=1,'DB'!$EN$4="DD",AND('DB'!$GS$4='DB'!$GT$4,'DB'!$EQ$4='DB'!$EN$4)),"Change in an environmental variable - past 50 years - severity (%)","")</f>
        <v>Change in an environmental variable - past 50 years - severity (%)</v>
      </c>
      <c r="E51" s="530"/>
      <c r="F51" s="530"/>
      <c r="G51" s="532"/>
      <c r="H51" s="533"/>
      <c r="I51" s="533"/>
      <c r="J51" s="533"/>
      <c r="K51" s="533"/>
      <c r="L51" s="533"/>
      <c r="M51" s="534"/>
      <c r="N51" s="533"/>
      <c r="O51" s="533"/>
      <c r="P51" s="533"/>
      <c r="Q51" s="533"/>
      <c r="R51" s="533"/>
      <c r="S51" s="535"/>
      <c r="T51" s="536" t="str">
        <f>IF(D51="","",'DB'!$BP$4)</f>
        <v>DD</v>
      </c>
      <c r="U51" s="537"/>
      <c r="V51" s="544">
        <f>IF(W51="80% (CR)","&gt;","")</f>
      </c>
      <c r="W51" s="538" t="str">
        <f>IF(T51="","",IF('DB'!$GT$4=3,"80% (CR)",IF('DB'!$GT$4=2,"conditional (EN)","conditional (VU)")))</f>
        <v>conditional (VU)</v>
      </c>
      <c r="X51" s="227"/>
    </row>
    <row r="52" spans="1:24" ht="12.75">
      <c r="A52" s="226">
        <v>17</v>
      </c>
      <c r="B52" s="220" t="str">
        <f>IF(T52="","x17","c3")</f>
        <v>c3</v>
      </c>
      <c r="C52" s="563" t="str">
        <f>IF(B52="x17","","C2a")</f>
        <v>C2a</v>
      </c>
      <c r="D52" s="530" t="str">
        <f>IF(OR($E$38=1,'DB'!$EN$4="DD",AND('DB'!$GS$4='DB'!$GV$4,'DB'!$EQ$4='DB'!$EN$4)),"Change in an environmental variable - next 50 years - extent (%)","")</f>
        <v>Change in an environmental variable - next 50 years - extent (%)</v>
      </c>
      <c r="E52" s="531"/>
      <c r="F52" s="530"/>
      <c r="G52" s="532"/>
      <c r="H52" s="533"/>
      <c r="I52" s="533"/>
      <c r="J52" s="533"/>
      <c r="K52" s="533"/>
      <c r="L52" s="533"/>
      <c r="M52" s="534"/>
      <c r="N52" s="533"/>
      <c r="O52" s="533"/>
      <c r="P52" s="533"/>
      <c r="Q52" s="533"/>
      <c r="R52" s="533"/>
      <c r="S52" s="535"/>
      <c r="T52" s="536" t="str">
        <f>IF(D52="","",'DB'!$BU$4)</f>
        <v>DD</v>
      </c>
      <c r="U52" s="537"/>
      <c r="V52" s="544">
        <f>IF(W52="80% (CR)","&gt;","")</f>
      </c>
      <c r="W52" s="538" t="str">
        <f>IF(T52="","",IF('DB'!$GV$4=3,"80% (CR)",IF('DB'!$GV$4=2,"conditional (EN)","conditional (VU)")))</f>
        <v>conditional (VU)</v>
      </c>
      <c r="X52" s="227"/>
    </row>
    <row r="53" spans="1:24" ht="12.75">
      <c r="A53" s="226">
        <v>18</v>
      </c>
      <c r="B53" s="220" t="str">
        <f>IF(T53="","x18","c4")</f>
        <v>c4</v>
      </c>
      <c r="C53" s="539"/>
      <c r="D53" s="530" t="str">
        <f>IF(OR($E$38=1,'DB'!$EN$4="DD",AND('DB'!$GS$4='DB'!$GV$4,'DB'!$EQ$4='DB'!$EN$4)),"Change in an environmental variable - next 50 years - severity (%)","")</f>
        <v>Change in an environmental variable - next 50 years - severity (%)</v>
      </c>
      <c r="E53" s="540"/>
      <c r="F53" s="530"/>
      <c r="G53" s="532"/>
      <c r="H53" s="533"/>
      <c r="I53" s="533"/>
      <c r="J53" s="533"/>
      <c r="K53" s="533"/>
      <c r="L53" s="533"/>
      <c r="M53" s="534"/>
      <c r="N53" s="533"/>
      <c r="O53" s="533"/>
      <c r="P53" s="533"/>
      <c r="Q53" s="533"/>
      <c r="R53" s="533"/>
      <c r="S53" s="535"/>
      <c r="T53" s="536" t="str">
        <f>IF(D53="","",'DB'!$BX$4)</f>
        <v>DD</v>
      </c>
      <c r="U53" s="537"/>
      <c r="V53" s="544">
        <f>IF(W53="80% (CR)","&gt;","")</f>
      </c>
      <c r="W53" s="538" t="str">
        <f>IF(T53="","",IF('DB'!$GV$4=3,"80% (CR)",IF('DB'!$GV$4=2,"conditional (EN)","conditional (VU)")))</f>
        <v>conditional (VU)</v>
      </c>
      <c r="X53" s="227"/>
    </row>
    <row r="54" spans="1:24" ht="12.75">
      <c r="A54" s="226">
        <v>19</v>
      </c>
      <c r="B54" s="220" t="str">
        <f>IF(T54="","x19","c5")</f>
        <v>c5</v>
      </c>
      <c r="C54" s="563" t="str">
        <f>IF(B54="x19","","C2b")</f>
        <v>C2b</v>
      </c>
      <c r="D54" s="530" t="str">
        <f>IF(OR($E$38=1,'DB'!$EN$4="DD",AND('DB'!$GS$4='DB'!$GW$4,'DB'!$EQ$4='DB'!$EN$4)),"Change in an environmental variable - any 50 years - extent (%)","")</f>
        <v>Change in an environmental variable - any 50 years - extent (%)</v>
      </c>
      <c r="E54" s="530"/>
      <c r="F54" s="530"/>
      <c r="G54" s="532"/>
      <c r="H54" s="533"/>
      <c r="I54" s="533"/>
      <c r="J54" s="533"/>
      <c r="K54" s="533"/>
      <c r="L54" s="533"/>
      <c r="M54" s="534"/>
      <c r="N54" s="533"/>
      <c r="O54" s="533"/>
      <c r="P54" s="533"/>
      <c r="Q54" s="533"/>
      <c r="R54" s="533"/>
      <c r="S54" s="535"/>
      <c r="T54" s="536" t="str">
        <f>IF(D54="","",'DB'!$CC$4)</f>
        <v>DD</v>
      </c>
      <c r="U54" s="537"/>
      <c r="V54" s="544">
        <f>IF(W54="80% (CR)","&gt;","")</f>
      </c>
      <c r="W54" s="538" t="str">
        <f>IF(T54="","",IF('DB'!$GW$4=3,"80% (CR)",IF('DB'!$GW$4=2,"conditional (EN)","conditional (VU)")))</f>
        <v>conditional (VU)</v>
      </c>
      <c r="X54" s="227"/>
    </row>
    <row r="55" spans="1:24" ht="12.75">
      <c r="A55" s="226">
        <v>2</v>
      </c>
      <c r="B55" s="220" t="str">
        <f>IF(T55="","x2","a2")</f>
        <v>a2</v>
      </c>
      <c r="C55" s="529" t="str">
        <f>IF(B55="x2","","A2a")</f>
        <v>A2a</v>
      </c>
      <c r="D55" s="530" t="str">
        <f>IF(OR($E$38=1,'DB'!$EN$4="DD",AND('DB'!$GF$4='DB'!$GC$4,'DB'!$EO$4='DB'!$EN$4)),"Reduction in geographic distribution (%) over next 50 years of:","")</f>
        <v>Reduction in geographic distribution (%) over next 50 years of:</v>
      </c>
      <c r="E55" s="531"/>
      <c r="F55" s="530"/>
      <c r="G55" s="532"/>
      <c r="H55" s="533"/>
      <c r="I55" s="533"/>
      <c r="J55" s="533"/>
      <c r="K55" s="533"/>
      <c r="L55" s="533"/>
      <c r="M55" s="534"/>
      <c r="N55" s="533"/>
      <c r="O55" s="533"/>
      <c r="P55" s="533"/>
      <c r="Q55" s="533"/>
      <c r="R55" s="533"/>
      <c r="S55" s="542"/>
      <c r="T55" s="536" t="str">
        <f>IF(D55="","",'DB'!$S$4)</f>
        <v>DD</v>
      </c>
      <c r="U55" s="543"/>
      <c r="V55" s="544" t="str">
        <f>IF(W55="","","&gt;")</f>
        <v>&gt;</v>
      </c>
      <c r="W55" s="538" t="str">
        <f>IF(T55="","",IF('DB'!$FC$4=3,"80% (CR)",IF('DB'!$FC$4=2,"50% (EN)","30% (VU)")))</f>
        <v>30% (VU)</v>
      </c>
      <c r="X55" s="227"/>
    </row>
    <row r="56" spans="1:24" ht="12.75">
      <c r="A56" s="226">
        <v>20</v>
      </c>
      <c r="B56" s="220" t="str">
        <f>IF(W56="","x20","c6")</f>
        <v>c6</v>
      </c>
      <c r="C56" s="539"/>
      <c r="D56" s="530" t="str">
        <f>IF(OR($E$38=1,'DB'!$EN$4="DD",AND('DB'!$GS$4='DB'!$GW$4,'DB'!$EQ$4='DB'!$EN$4)),"Change in an environmental variable - any 50 years - severity (%)","")</f>
        <v>Change in an environmental variable - any 50 years - severity (%)</v>
      </c>
      <c r="E56" s="530"/>
      <c r="F56" s="530"/>
      <c r="G56" s="532"/>
      <c r="H56" s="533"/>
      <c r="I56" s="533"/>
      <c r="J56" s="533"/>
      <c r="K56" s="533"/>
      <c r="L56" s="533"/>
      <c r="M56" s="534"/>
      <c r="N56" s="533"/>
      <c r="O56" s="533"/>
      <c r="P56" s="533"/>
      <c r="Q56" s="533"/>
      <c r="R56" s="533"/>
      <c r="S56" s="535"/>
      <c r="T56" s="536" t="str">
        <f>IF(D56="","",'DB'!$CF$4)</f>
        <v>DD</v>
      </c>
      <c r="U56" s="537"/>
      <c r="V56" s="544">
        <f>IF(W56="80% (CR)","&gt;","")</f>
      </c>
      <c r="W56" s="538" t="str">
        <f>IF(T56="","",IF('DB'!$GW$4=3,"80% (CR)",IF('DB'!$GW$4=2,"conditional (EN)","conditional (VU)")))</f>
        <v>conditional (VU)</v>
      </c>
      <c r="X56" s="227"/>
    </row>
    <row r="57" spans="1:24" ht="12.75">
      <c r="A57" s="226">
        <v>21</v>
      </c>
      <c r="B57" s="220" t="str">
        <f>IF(W57="","x21","c7")</f>
        <v>c7</v>
      </c>
      <c r="C57" s="563" t="str">
        <f>IF(B57="x21","","C3")</f>
        <v>C3</v>
      </c>
      <c r="D57" s="530" t="str">
        <f>IF(OR($E$38=1,'DB'!$EN$4="DD",AND('DB'!$GS$4='DB'!$GX$4,'DB'!$EQ$4='DB'!$EN$4)),"Change in an environmental variable - since 1750 - extent (%)","")</f>
        <v>Change in an environmental variable - since 1750 - extent (%)</v>
      </c>
      <c r="E57" s="530"/>
      <c r="F57" s="530"/>
      <c r="G57" s="532"/>
      <c r="H57" s="533"/>
      <c r="I57" s="533"/>
      <c r="J57" s="533"/>
      <c r="K57" s="533"/>
      <c r="L57" s="533"/>
      <c r="M57" s="534"/>
      <c r="N57" s="533"/>
      <c r="O57" s="533"/>
      <c r="P57" s="533"/>
      <c r="Q57" s="533"/>
      <c r="R57" s="533"/>
      <c r="S57" s="535"/>
      <c r="T57" s="536" t="str">
        <f>IF(D57="","",'DB'!$CL$4)</f>
        <v>DD</v>
      </c>
      <c r="U57" s="537"/>
      <c r="V57" s="544">
        <f>IF(W57="90% (CR)","&gt;","")</f>
      </c>
      <c r="W57" s="538" t="str">
        <f>IF(T57="","",IF('DB'!$GX$4=3,"90% (CR)",IF('DB'!$GX$4=2,"conditional (EN)","conditional (VU)")))</f>
        <v>conditional (VU)</v>
      </c>
      <c r="X57" s="228"/>
    </row>
    <row r="58" spans="1:24" ht="12.75">
      <c r="A58" s="226">
        <v>22</v>
      </c>
      <c r="B58" s="220" t="str">
        <f>IF(T58="","x22","c8")</f>
        <v>c8</v>
      </c>
      <c r="C58" s="539"/>
      <c r="D58" s="530" t="str">
        <f>IF(OR($E$38=1,'DB'!$EN$4="DD",AND('DB'!$GS$4='DB'!$GX$4,'DB'!$EQ$4='DB'!$EN$4)),"Change in an environmental variable - since 1750 - severity (%)","")</f>
        <v>Change in an environmental variable - since 1750 - severity (%)</v>
      </c>
      <c r="E58" s="530"/>
      <c r="F58" s="530"/>
      <c r="G58" s="532"/>
      <c r="H58" s="533"/>
      <c r="I58" s="533"/>
      <c r="J58" s="533"/>
      <c r="K58" s="533"/>
      <c r="L58" s="533"/>
      <c r="M58" s="534"/>
      <c r="N58" s="533"/>
      <c r="O58" s="533"/>
      <c r="P58" s="533"/>
      <c r="Q58" s="533"/>
      <c r="R58" s="533"/>
      <c r="S58" s="535"/>
      <c r="T58" s="536" t="str">
        <f>IF(D58="","",'DB'!$CO$4)</f>
        <v>DD</v>
      </c>
      <c r="U58" s="537"/>
      <c r="V58" s="544">
        <f>IF(W58="90% (CR)","&gt;","")</f>
      </c>
      <c r="W58" s="538" t="str">
        <f>IF(T58="","",IF('DB'!$GX$4=3,"90% (CR)",IF('DB'!$GX$4=2,"conditional (EN)","conditional (VU)")))</f>
        <v>conditional (VU)</v>
      </c>
      <c r="X58" s="227"/>
    </row>
    <row r="59" spans="1:24" ht="12.75">
      <c r="A59" s="226">
        <v>23</v>
      </c>
      <c r="B59" s="220" t="str">
        <f>IF(T59="","x23","d1")</f>
        <v>d1</v>
      </c>
      <c r="C59" s="529" t="str">
        <f>IF(B59="x23","","D1")</f>
        <v>D1</v>
      </c>
      <c r="D59" s="530" t="str">
        <f>IF(OR($E$38=1,'DB'!$EN$4="DD",AND('DB'!$GY$4='DB'!$GZ$4,'DB'!$ER$4='DB'!$EN$4)),"Disruption of biotic interactions - past 50 years - extent (%)","")</f>
        <v>Disruption of biotic interactions - past 50 years - extent (%)</v>
      </c>
      <c r="E59" s="530"/>
      <c r="F59" s="530"/>
      <c r="G59" s="532"/>
      <c r="H59" s="533"/>
      <c r="I59" s="533"/>
      <c r="J59" s="533"/>
      <c r="K59" s="533"/>
      <c r="L59" s="533"/>
      <c r="M59" s="534"/>
      <c r="N59" s="533"/>
      <c r="O59" s="533"/>
      <c r="P59" s="533"/>
      <c r="Q59" s="533"/>
      <c r="R59" s="533"/>
      <c r="S59" s="535"/>
      <c r="T59" s="536" t="str">
        <f>IF(D59="","",'DB'!$CT$4)</f>
        <v>DD</v>
      </c>
      <c r="U59" s="537"/>
      <c r="V59" s="544">
        <f aca="true" t="shared" si="1" ref="V59:V64">IF(W59="80% (CR)","&gt;","")</f>
      </c>
      <c r="W59" s="538" t="str">
        <f>IF(T59="","",IF('DB'!$GZ$4=3,"80% (CR)",IF('DB'!$GZ$4=2,"conditional (EN)","conditional (VU)")))</f>
        <v>conditional (VU)</v>
      </c>
      <c r="X59" s="228"/>
    </row>
    <row r="60" spans="1:24" ht="12.75">
      <c r="A60" s="226">
        <v>24</v>
      </c>
      <c r="B60" s="220" t="str">
        <f>IF(T60="","x24","d2")</f>
        <v>d2</v>
      </c>
      <c r="C60" s="539"/>
      <c r="D60" s="530" t="str">
        <f>IF(OR($E$38=1,'DB'!$EN$4="DD",AND('DB'!$GY$4='DB'!$GZ$4,'DB'!$ER$4='DB'!$EN$4)),"Disruption of biotic interactions - past 50 years - severity (%)","")</f>
        <v>Disruption of biotic interactions - past 50 years - severity (%)</v>
      </c>
      <c r="E60" s="530"/>
      <c r="F60" s="530"/>
      <c r="G60" s="532"/>
      <c r="H60" s="533"/>
      <c r="I60" s="533"/>
      <c r="J60" s="533"/>
      <c r="K60" s="533"/>
      <c r="L60" s="533"/>
      <c r="M60" s="534"/>
      <c r="N60" s="533"/>
      <c r="O60" s="533"/>
      <c r="P60" s="533"/>
      <c r="Q60" s="533"/>
      <c r="R60" s="533"/>
      <c r="S60" s="535"/>
      <c r="T60" s="536" t="str">
        <f>IF(D60="","",'DB'!$CW$4)</f>
        <v>DD</v>
      </c>
      <c r="U60" s="545"/>
      <c r="V60" s="544">
        <f t="shared" si="1"/>
      </c>
      <c r="W60" s="538" t="str">
        <f>IF(T60="","",IF('DB'!$GZ$4=3,"80% (CR)",IF('DB'!$GZ$4=2,"conditional (EN)","conditional (VU)")))</f>
        <v>conditional (VU)</v>
      </c>
      <c r="X60" s="227"/>
    </row>
    <row r="61" spans="1:24" ht="12.75">
      <c r="A61" s="226">
        <v>25</v>
      </c>
      <c r="B61" s="220" t="str">
        <f>IF(T61="","x25","d3")</f>
        <v>d3</v>
      </c>
      <c r="C61" s="563" t="str">
        <f>IF(B61="x25","","D2a")</f>
        <v>D2a</v>
      </c>
      <c r="D61" s="530" t="str">
        <f>IF(OR($E$38=1,'DB'!$EN$4="DD",AND('DB'!$GY$4='DB'!$HB$4,'DB'!$ER$4='DB'!$EN$4)),"Disruption of biotic interactions - next 50 years - extent (%)","")</f>
        <v>Disruption of biotic interactions - next 50 years - extent (%)</v>
      </c>
      <c r="E61" s="530"/>
      <c r="F61" s="530"/>
      <c r="G61" s="532"/>
      <c r="H61" s="533"/>
      <c r="I61" s="533"/>
      <c r="J61" s="533"/>
      <c r="K61" s="533"/>
      <c r="L61" s="533"/>
      <c r="M61" s="534"/>
      <c r="N61" s="533"/>
      <c r="O61" s="533"/>
      <c r="P61" s="533"/>
      <c r="Q61" s="533"/>
      <c r="R61" s="533"/>
      <c r="S61" s="535"/>
      <c r="T61" s="536" t="str">
        <f>IF(D61="","",'DB'!$DB$4)</f>
        <v>DD</v>
      </c>
      <c r="U61" s="537"/>
      <c r="V61" s="544">
        <f t="shared" si="1"/>
      </c>
      <c r="W61" s="538" t="str">
        <f>IF(T61="","",IF('DB'!$HB$4=3,"80% (CR)",IF('DB'!$HB$4=2,"conditional (EN)","conditional (VU)")))</f>
        <v>conditional (VU)</v>
      </c>
      <c r="X61" s="227"/>
    </row>
    <row r="62" spans="1:24" ht="12.75">
      <c r="A62" s="226">
        <v>26</v>
      </c>
      <c r="B62" s="220" t="str">
        <f>IF(T62="","x26","d4")</f>
        <v>d4</v>
      </c>
      <c r="C62" s="539"/>
      <c r="D62" s="530" t="str">
        <f>IF(OR($E$38=1,'DB'!$EN$4="DD",AND('DB'!$GY$4='DB'!$HB$4,'DB'!$ER$4='DB'!$EN$4)),"Disruption of biotic interactions - next 50 years - severity (%)","")</f>
        <v>Disruption of biotic interactions - next 50 years - severity (%)</v>
      </c>
      <c r="E62" s="530"/>
      <c r="F62" s="530"/>
      <c r="G62" s="532"/>
      <c r="H62" s="533"/>
      <c r="I62" s="533"/>
      <c r="J62" s="533"/>
      <c r="K62" s="533"/>
      <c r="L62" s="533"/>
      <c r="M62" s="534"/>
      <c r="N62" s="533"/>
      <c r="O62" s="533"/>
      <c r="P62" s="533"/>
      <c r="Q62" s="533"/>
      <c r="R62" s="533"/>
      <c r="S62" s="535"/>
      <c r="T62" s="536" t="str">
        <f>IF(D62="","",'DB'!$DE$4)</f>
        <v>DD</v>
      </c>
      <c r="U62" s="537"/>
      <c r="V62" s="544">
        <f t="shared" si="1"/>
      </c>
      <c r="W62" s="538" t="str">
        <f>IF(T62="","",IF('DB'!$HB$4=3,"80% (CR)",IF('DB'!$HB$4=2,"conditional (EN)","conditional (VU)")))</f>
        <v>conditional (VU)</v>
      </c>
      <c r="X62" s="227"/>
    </row>
    <row r="63" spans="1:24" ht="12.75">
      <c r="A63" s="226">
        <v>27</v>
      </c>
      <c r="B63" s="220" t="str">
        <f>IF(T63="","x27","d5")</f>
        <v>d5</v>
      </c>
      <c r="C63" s="563" t="str">
        <f>IF(B63="x27","","D2b")</f>
        <v>D2b</v>
      </c>
      <c r="D63" s="530" t="str">
        <f>IF(OR($E$38=1,'DB'!$EN$4="DD",AND('DB'!$GY$4='DB'!$HC$4,'DB'!$ER$4='DB'!$EN$4)),"Disruption of biotic interactions - any 50 years - extent (%)","")</f>
        <v>Disruption of biotic interactions - any 50 years - extent (%)</v>
      </c>
      <c r="E63" s="530"/>
      <c r="F63" s="530"/>
      <c r="G63" s="530"/>
      <c r="H63" s="530"/>
      <c r="I63" s="530"/>
      <c r="J63" s="530"/>
      <c r="K63" s="530"/>
      <c r="L63" s="530"/>
      <c r="M63" s="530"/>
      <c r="N63" s="530"/>
      <c r="O63" s="530"/>
      <c r="P63" s="530"/>
      <c r="Q63" s="530"/>
      <c r="R63" s="530"/>
      <c r="S63" s="535"/>
      <c r="T63" s="536" t="str">
        <f>IF(D63="","",'DB'!$DJ$4)</f>
        <v>DD</v>
      </c>
      <c r="U63" s="537"/>
      <c r="V63" s="544">
        <f t="shared" si="1"/>
      </c>
      <c r="W63" s="538" t="str">
        <f>IF(T63="","",IF('DB'!$HC$4=3,"80% (CR)",IF('DB'!$HC$4=2,"conditional (EN)","conditional (VU)")))</f>
        <v>conditional (VU)</v>
      </c>
      <c r="X63" s="227"/>
    </row>
    <row r="64" spans="1:24" ht="12.75">
      <c r="A64" s="226">
        <v>28</v>
      </c>
      <c r="B64" s="220" t="str">
        <f>IF(T64="","x28","d6")</f>
        <v>d6</v>
      </c>
      <c r="C64" s="539"/>
      <c r="D64" s="530" t="str">
        <f>IF(OR($E$38=1,'DB'!$EN$4="DD",AND('DB'!$GY$4='DB'!$HC$4,'DB'!$ER$4='DB'!$EN$4)),"Disruption of biotic interactions - any 50 years - severity (%)","")</f>
        <v>Disruption of biotic interactions - any 50 years - severity (%)</v>
      </c>
      <c r="E64" s="530"/>
      <c r="F64" s="530"/>
      <c r="G64" s="532"/>
      <c r="H64" s="533"/>
      <c r="I64" s="533"/>
      <c r="J64" s="533"/>
      <c r="K64" s="533"/>
      <c r="L64" s="533"/>
      <c r="M64" s="534"/>
      <c r="N64" s="533"/>
      <c r="O64" s="533"/>
      <c r="P64" s="533"/>
      <c r="Q64" s="533"/>
      <c r="R64" s="533"/>
      <c r="S64" s="535"/>
      <c r="T64" s="536" t="str">
        <f>IF(D64="","",'DB'!$DM$4)</f>
        <v>DD</v>
      </c>
      <c r="U64" s="546"/>
      <c r="V64" s="544">
        <f t="shared" si="1"/>
      </c>
      <c r="W64" s="538" t="str">
        <f>IF(T64="","",IF('DB'!$HC$4=3,"80% (CR)",IF('DB'!$HC$4=2,"conditional (EN)","conditional (VU)")))</f>
        <v>conditional (VU)</v>
      </c>
      <c r="X64" s="227"/>
    </row>
    <row r="65" spans="1:24" ht="12.75">
      <c r="A65" s="226">
        <v>29</v>
      </c>
      <c r="B65" s="220" t="str">
        <f>IF(T65="","x29","d7")</f>
        <v>d7</v>
      </c>
      <c r="C65" s="563" t="str">
        <f>IF(B65="x29","","D3")</f>
        <v>D3</v>
      </c>
      <c r="D65" s="530" t="str">
        <f>IF(OR($E$38=1,'DB'!$EN$4="DD",AND('DB'!$GY$4='DB'!$HD$4,'DB'!$ER$4='DB'!$EN$4)),"Disruption of biotic interactions - since 1750 - extent (%)","")</f>
        <v>Disruption of biotic interactions - since 1750 - extent (%)</v>
      </c>
      <c r="E65" s="530"/>
      <c r="F65" s="530"/>
      <c r="G65" s="532"/>
      <c r="H65" s="533"/>
      <c r="I65" s="533"/>
      <c r="J65" s="533"/>
      <c r="K65" s="533"/>
      <c r="L65" s="533"/>
      <c r="M65" s="534"/>
      <c r="N65" s="533"/>
      <c r="O65" s="533"/>
      <c r="P65" s="533"/>
      <c r="Q65" s="533"/>
      <c r="R65" s="533"/>
      <c r="S65" s="535"/>
      <c r="T65" s="536" t="str">
        <f>IF(D65="","",'DB'!$DS$4)</f>
        <v>DD</v>
      </c>
      <c r="U65" s="537"/>
      <c r="V65" s="544">
        <f>IF(W65="90% (CR)","&gt;","")</f>
      </c>
      <c r="W65" s="538" t="str">
        <f>IF(T65="","",IF('DB'!$HD$4=3,"90% (CR)",IF('DB'!$HD$4=2,"conditional (EN)","conditional (VU)")))</f>
        <v>conditional (VU)</v>
      </c>
      <c r="X65" s="227"/>
    </row>
    <row r="66" spans="1:24" ht="12.75">
      <c r="A66" s="226">
        <v>3</v>
      </c>
      <c r="B66" s="220" t="str">
        <f>IF(T66="","x3","a3")</f>
        <v>a3</v>
      </c>
      <c r="C66" s="529" t="str">
        <f>IF(B66="x3","","A2b")</f>
        <v>A2b</v>
      </c>
      <c r="D66" s="530" t="str">
        <f>IF(OR($E$38=1,'DB'!$EN$4="DD",AND('DB'!$GG$4='DB'!$GC$4,'DB'!$EO$4='DB'!$EN$4)),"Reduction in geographic distribution (%) over any 50 year period of:","")</f>
        <v>Reduction in geographic distribution (%) over any 50 year period of:</v>
      </c>
      <c r="E66" s="531"/>
      <c r="F66" s="530"/>
      <c r="G66" s="532"/>
      <c r="H66" s="533"/>
      <c r="I66" s="533"/>
      <c r="J66" s="533"/>
      <c r="K66" s="533"/>
      <c r="L66" s="533"/>
      <c r="M66" s="534"/>
      <c r="N66" s="533"/>
      <c r="O66" s="533"/>
      <c r="P66" s="533"/>
      <c r="Q66" s="533"/>
      <c r="R66" s="533"/>
      <c r="S66" s="542"/>
      <c r="T66" s="536" t="str">
        <f>IF(D66="","",'DB'!$X$4)</f>
        <v>DD</v>
      </c>
      <c r="U66" s="537"/>
      <c r="V66" s="544" t="str">
        <f>IF(W66="","","&gt;")</f>
        <v>&gt;</v>
      </c>
      <c r="W66" s="538" t="str">
        <f>IF(T66="","",IF('DB'!$FD$4=3,"80% (CR)",IF('DB'!$FD$4=2,"50% (EN)","30% (VU)")))</f>
        <v>30% (VU)</v>
      </c>
      <c r="X66" s="227"/>
    </row>
    <row r="67" spans="1:24" ht="12.75">
      <c r="A67" s="226">
        <v>30</v>
      </c>
      <c r="B67" s="220" t="str">
        <f>IF(T67="","x30","d8")</f>
        <v>d8</v>
      </c>
      <c r="C67" s="539"/>
      <c r="D67" s="530" t="str">
        <f>IF(OR($E$38=1,'DB'!$EN$4="DD",AND('DB'!$GY$4='DB'!$HD$4,'DB'!$ER$4='DB'!$EN$4)),"Disruption of biotic interactions - since 1750 - severity (%)","")</f>
        <v>Disruption of biotic interactions - since 1750 - severity (%)</v>
      </c>
      <c r="E67" s="548"/>
      <c r="F67" s="530"/>
      <c r="G67" s="532"/>
      <c r="H67" s="533"/>
      <c r="I67" s="533"/>
      <c r="J67" s="533"/>
      <c r="K67" s="533"/>
      <c r="L67" s="533"/>
      <c r="M67" s="534"/>
      <c r="N67" s="533"/>
      <c r="O67" s="533"/>
      <c r="P67" s="533"/>
      <c r="Q67" s="533"/>
      <c r="R67" s="533"/>
      <c r="S67" s="535"/>
      <c r="T67" s="536" t="str">
        <f>IF(D67="","",'DB'!$DV$4)</f>
        <v>DD</v>
      </c>
      <c r="U67" s="537"/>
      <c r="V67" s="544">
        <f>IF(W67="90% (CR)","&gt;","")</f>
      </c>
      <c r="W67" s="538" t="str">
        <f>IF(T67="","",IF('DB'!$HD$4=3,"90% (CR)",IF('DB'!$HD$4=2,"conditional (EN)","conditional (VU)")))</f>
        <v>conditional (VU)</v>
      </c>
      <c r="X67" s="227"/>
    </row>
    <row r="68" spans="1:24" ht="12.75">
      <c r="A68" s="226">
        <v>32</v>
      </c>
      <c r="B68" s="220" t="str">
        <f>IF(W68="","x32","e2")</f>
        <v>e2</v>
      </c>
      <c r="C68" s="529" t="str">
        <f>IF(OR(B68="x32",C67="E"),"","E")</f>
        <v>E</v>
      </c>
      <c r="D68" s="530" t="str">
        <f>IF(OR($E$38=1,'DB'!$EN$4="DD",AND('DB'!$HE$4=1,'DB'!$ES$4='DB'!$EN$4)),"Probability of ecosystem collapse within 100 years:","")</f>
        <v>Probability of ecosystem collapse within 100 years:</v>
      </c>
      <c r="E68" s="530"/>
      <c r="F68" s="530"/>
      <c r="G68" s="532"/>
      <c r="H68" s="533"/>
      <c r="I68" s="533"/>
      <c r="J68" s="533"/>
      <c r="K68" s="533"/>
      <c r="L68" s="533"/>
      <c r="M68" s="534"/>
      <c r="N68" s="533"/>
      <c r="O68" s="533"/>
      <c r="P68" s="533"/>
      <c r="Q68" s="533"/>
      <c r="R68" s="533"/>
      <c r="S68" s="535"/>
      <c r="T68" s="536" t="str">
        <f>IF(D68="","",'DB'!$ED$4)</f>
        <v>DD</v>
      </c>
      <c r="U68" s="537"/>
      <c r="V68" s="544" t="str">
        <f>IF(W68="","","&gt;")</f>
        <v>&gt;</v>
      </c>
      <c r="W68" s="538" t="str">
        <f>IF(T68="","","10% (VU)")</f>
        <v>10% (VU)</v>
      </c>
      <c r="X68" s="227"/>
    </row>
    <row r="69" spans="1:24" ht="12.75">
      <c r="A69" s="226">
        <v>4</v>
      </c>
      <c r="B69" s="220" t="str">
        <f>IF(T69="","x4","a4")</f>
        <v>a4</v>
      </c>
      <c r="C69" s="529" t="str">
        <f>IF(B69="x4","","A3")</f>
        <v>A3</v>
      </c>
      <c r="D69" s="530" t="str">
        <f>IF(OR($E$38=1,'DB'!$EN$4="DD",AND('DB'!$GH$4='DB'!$GC$4,'DB'!$EO$4='DB'!$EN$4)),"Reduction in geographic distribution (%) since 1750 of:","")</f>
        <v>Reduction in geographic distribution (%) since 1750 of:</v>
      </c>
      <c r="E69" s="531"/>
      <c r="F69" s="530"/>
      <c r="G69" s="532"/>
      <c r="H69" s="533"/>
      <c r="I69" s="533"/>
      <c r="J69" s="533"/>
      <c r="K69" s="533"/>
      <c r="L69" s="533"/>
      <c r="M69" s="534"/>
      <c r="N69" s="533"/>
      <c r="O69" s="533"/>
      <c r="P69" s="533"/>
      <c r="Q69" s="533"/>
      <c r="R69" s="533"/>
      <c r="S69" s="542"/>
      <c r="T69" s="536" t="str">
        <f>IF(D69="","",'DB'!$AD$4)</f>
        <v>DD</v>
      </c>
      <c r="U69" s="537"/>
      <c r="V69" s="544" t="str">
        <f>IF(W69="","","&gt;")</f>
        <v>&gt;</v>
      </c>
      <c r="W69" s="538" t="str">
        <f>IF(T69="","",IF('DB'!$FE$4=3,"80% (CR)",IF('DB'!$FE$4=2,"50% (EN)","30% (VU)")))</f>
        <v>30% (VU)</v>
      </c>
      <c r="X69" s="227"/>
    </row>
    <row r="70" spans="1:24" ht="12.75">
      <c r="A70" s="226">
        <v>6</v>
      </c>
      <c r="B70" s="220" t="str">
        <f>IF(T70="","x6","b2")</f>
        <v>b2</v>
      </c>
      <c r="C70" s="539" t="str">
        <f>IF(B70="x6","","   B1a")</f>
        <v>   B1a</v>
      </c>
      <c r="D70" s="548"/>
      <c r="E70" s="530" t="str">
        <f>IF(OR($E$38=1,'DB'!$EN$4="DD",AND('DB'!$EP$4='DB'!$EN$4,'DB'!$GJ$4='DB'!$GI$4,'DB'!$GN$4&gt;='DB'!$GI$4)),"Degree of belief in continuing decline:","")</f>
        <v>Degree of belief in continuing decline:</v>
      </c>
      <c r="F70" s="530"/>
      <c r="G70" s="532"/>
      <c r="H70" s="533"/>
      <c r="I70" s="533"/>
      <c r="J70" s="533"/>
      <c r="K70" s="533"/>
      <c r="L70" s="533"/>
      <c r="M70" s="534"/>
      <c r="N70" s="533"/>
      <c r="O70" s="533"/>
      <c r="P70" s="533"/>
      <c r="Q70" s="533"/>
      <c r="R70" s="533"/>
      <c r="S70" s="542"/>
      <c r="T70" s="536" t="str">
        <f>IF(E70="","",'DB'!$AQ$4)</f>
        <v>DD</v>
      </c>
      <c r="U70" s="537"/>
      <c r="V70" s="544" t="str">
        <f>IF(W70="","","&gt;")</f>
        <v>&gt;</v>
      </c>
      <c r="W70" s="538" t="str">
        <f>IF(T70="","","0.5")</f>
        <v>0.5</v>
      </c>
      <c r="X70" s="227"/>
    </row>
    <row r="71" spans="1:24" ht="12.75">
      <c r="A71" s="226">
        <v>8</v>
      </c>
      <c r="B71" s="220" t="str">
        <f>IF(T71="","x8","b4")</f>
        <v>b4</v>
      </c>
      <c r="C71" s="539" t="str">
        <f>IF(B71="x8","","   B1c")</f>
        <v>   B1c</v>
      </c>
      <c r="D71" s="548"/>
      <c r="E71" s="530" t="str">
        <f>IF(OR($E$38=1,'DB'!$EN$4="DD",AND('DB'!$EP$4='DB'!$EN$4,'DB'!$GJ$4='DB'!$GI$4,'DB'!$GP$4&gt;='DB'!$GI$4)),"Number of locations:","")</f>
        <v>Number of locations:</v>
      </c>
      <c r="F71" s="530"/>
      <c r="G71" s="532"/>
      <c r="H71" s="533"/>
      <c r="I71" s="533"/>
      <c r="J71" s="533"/>
      <c r="K71" s="533"/>
      <c r="L71" s="533"/>
      <c r="M71" s="534"/>
      <c r="N71" s="533"/>
      <c r="O71" s="533"/>
      <c r="P71" s="533"/>
      <c r="Q71" s="533"/>
      <c r="R71" s="533"/>
      <c r="S71" s="542"/>
      <c r="T71" s="536" t="str">
        <f>IF(E71="","",'DB'!$AW$4)</f>
        <v>DD</v>
      </c>
      <c r="U71" s="537"/>
      <c r="V71" s="544" t="str">
        <f>IF(W71="","","&lt;")</f>
        <v>&lt;</v>
      </c>
      <c r="W71" s="538" t="str">
        <f>IF(T71="","",IF('DB'!$FI$4=3,"1 (CR)",IF('DB'!$FI$4=2,"5 (EN)","10 (VU)")))</f>
        <v>1 (CR)</v>
      </c>
      <c r="X71" s="227"/>
    </row>
    <row r="72" spans="1:24" ht="12.75">
      <c r="A72" s="226">
        <v>9</v>
      </c>
      <c r="B72" s="220" t="str">
        <f>IF(T72="","x9","b5")</f>
        <v>b5</v>
      </c>
      <c r="C72" s="529" t="str">
        <f>IF(B72="x9","","B2")</f>
        <v>B2</v>
      </c>
      <c r="D72" s="530" t="str">
        <f>IF(OR($E$38=1,'DB'!$EN$4="DD",AND('DB'!$EP$4='DB'!$EN$4,'DB'!$GK$4='DB'!$GI$4)),"Number of 10 x 10 km grid cells occupied (AOO):","")</f>
        <v>Number of 10 x 10 km grid cells occupied (AOO):</v>
      </c>
      <c r="E72" s="548"/>
      <c r="F72" s="530"/>
      <c r="G72" s="532"/>
      <c r="H72" s="533"/>
      <c r="I72" s="533"/>
      <c r="J72" s="533"/>
      <c r="K72" s="533"/>
      <c r="L72" s="533"/>
      <c r="M72" s="534"/>
      <c r="N72" s="533"/>
      <c r="O72" s="533"/>
      <c r="P72" s="533"/>
      <c r="Q72" s="533"/>
      <c r="R72" s="533"/>
      <c r="S72" s="542"/>
      <c r="T72" s="536" t="str">
        <f>IF(D72="","",'DB'!$AM$4)</f>
        <v>DD</v>
      </c>
      <c r="U72" s="537"/>
      <c r="V72" s="544" t="str">
        <f>IF(W72="","","&lt;")</f>
        <v>&lt;</v>
      </c>
      <c r="W72" s="538" t="str">
        <f>IF(T72="","",IF('DB'!$FJ$4=3,"2 (CR)",IF('DB'!$FJ$4=2,"20 (EN)","50 (VU)")))</f>
        <v>2 (CR)</v>
      </c>
      <c r="X72" s="227"/>
    </row>
    <row r="73" spans="1:24" ht="12.75">
      <c r="A73" s="229"/>
      <c r="B73" s="230"/>
      <c r="C73" s="231"/>
      <c r="D73" s="549"/>
      <c r="E73" s="232"/>
      <c r="F73" s="232"/>
      <c r="G73" s="233"/>
      <c r="H73" s="234"/>
      <c r="I73" s="234"/>
      <c r="J73" s="234"/>
      <c r="K73" s="234"/>
      <c r="L73" s="234"/>
      <c r="M73" s="235"/>
      <c r="N73" s="234"/>
      <c r="O73" s="234"/>
      <c r="P73" s="234"/>
      <c r="Q73" s="234"/>
      <c r="R73" s="234"/>
      <c r="S73" s="236"/>
      <c r="T73" s="550"/>
      <c r="U73" s="237"/>
      <c r="V73" s="238"/>
      <c r="W73" s="239"/>
      <c r="X73" s="240"/>
    </row>
    <row r="74" spans="1:24" ht="12.75">
      <c r="A74" s="200" t="s">
        <v>211</v>
      </c>
      <c r="B74" s="183"/>
      <c r="C74" s="183"/>
      <c r="D74" s="201" t="str">
        <f>IF(E74=0,"BRIEF","FULL")</f>
        <v>BRIEF</v>
      </c>
      <c r="E74" s="202">
        <v>0</v>
      </c>
      <c r="F74" s="547"/>
      <c r="G74" s="547"/>
      <c r="H74" s="182"/>
      <c r="I74" s="183"/>
      <c r="J74" s="183"/>
      <c r="K74" s="183"/>
      <c r="L74" s="183"/>
      <c r="M74" s="183"/>
      <c r="N74" s="183"/>
      <c r="O74" s="183"/>
      <c r="P74" s="183"/>
      <c r="Q74" s="183"/>
      <c r="R74" s="183"/>
      <c r="S74" s="183"/>
      <c r="T74" s="183"/>
      <c r="U74" s="183"/>
      <c r="V74" s="183"/>
      <c r="W74" s="183"/>
      <c r="X74" s="203"/>
    </row>
    <row r="75" spans="1:24" ht="12.75">
      <c r="A75" s="204" t="s">
        <v>217</v>
      </c>
      <c r="B75" s="205"/>
      <c r="C75" s="206"/>
      <c r="D75" s="207"/>
      <c r="E75" s="208"/>
      <c r="F75" s="207"/>
      <c r="G75" s="209"/>
      <c r="H75" s="210"/>
      <c r="I75" s="210"/>
      <c r="J75" s="210"/>
      <c r="K75" s="210"/>
      <c r="L75" s="210"/>
      <c r="M75" s="211"/>
      <c r="N75" s="210"/>
      <c r="O75" s="210"/>
      <c r="P75" s="210"/>
      <c r="Q75" s="212"/>
      <c r="R75" s="210"/>
      <c r="S75" s="213"/>
      <c r="T75" s="214"/>
      <c r="U75" s="215"/>
      <c r="V75" s="216"/>
      <c r="W75" s="217"/>
      <c r="X75" s="218"/>
    </row>
    <row r="76" spans="1:24" ht="12.75">
      <c r="A76" s="219"/>
      <c r="B76" s="220"/>
      <c r="C76" s="171" t="s">
        <v>213</v>
      </c>
      <c r="D76" s="183" t="s">
        <v>214</v>
      </c>
      <c r="E76" s="548"/>
      <c r="F76" s="548"/>
      <c r="G76" s="548"/>
      <c r="H76" s="548"/>
      <c r="I76" s="548"/>
      <c r="J76" s="548"/>
      <c r="K76" s="548"/>
      <c r="L76" s="548"/>
      <c r="M76" s="171"/>
      <c r="N76" s="184"/>
      <c r="O76" s="184"/>
      <c r="P76" s="184"/>
      <c r="Q76" s="221"/>
      <c r="R76" s="184"/>
      <c r="S76" s="222"/>
      <c r="T76" s="223" t="s">
        <v>215</v>
      </c>
      <c r="U76" s="224"/>
      <c r="V76" s="225"/>
      <c r="W76" s="171" t="s">
        <v>216</v>
      </c>
      <c r="X76" s="181"/>
    </row>
    <row r="77" spans="1:24" ht="12.75">
      <c r="A77" s="226">
        <v>5</v>
      </c>
      <c r="B77" s="220" t="str">
        <f>IF(T77="","x5","b1")</f>
        <v>b1</v>
      </c>
      <c r="C77" s="529" t="str">
        <f>IF(B77="x5","","B1")</f>
        <v>B1</v>
      </c>
      <c r="D77" s="530" t="str">
        <f>IF(OR($E$74=1,'DB'!$ET$4="DD",AND('DB'!$EV$4='DB'!$ET$4,'DB'!$HM$4='DB'!$HL$4)),"Minimum convex polygon or similar boundary (EOO) (km2) of:","")</f>
        <v>Minimum convex polygon or similar boundary (EOO) (km2) of:</v>
      </c>
      <c r="E77" s="531"/>
      <c r="F77" s="530"/>
      <c r="G77" s="532"/>
      <c r="H77" s="533"/>
      <c r="I77" s="533"/>
      <c r="J77" s="533"/>
      <c r="K77" s="533"/>
      <c r="L77" s="533"/>
      <c r="M77" s="534"/>
      <c r="N77" s="533"/>
      <c r="O77" s="533"/>
      <c r="P77" s="533"/>
      <c r="Q77" s="533"/>
      <c r="R77" s="533"/>
      <c r="S77" s="542"/>
      <c r="T77" s="536" t="str">
        <f>IF(D77="","",'DB'!$AJ$4)</f>
        <v>DD</v>
      </c>
      <c r="U77" s="537"/>
      <c r="V77" s="544" t="str">
        <f>IF(W77="","","&lt;")</f>
        <v>&lt;</v>
      </c>
      <c r="W77" s="538" t="str">
        <f>IF(T77="","",IF('DB'!$FI$4=3,"2,000 (CR)",IF('DB'!$FI$4=2,"20,000 (EN)","50,000 (VU)")))</f>
        <v>2,000 (CR)</v>
      </c>
      <c r="X77" s="227"/>
    </row>
    <row r="78" spans="1:24" ht="12.75">
      <c r="A78" s="226">
        <v>7</v>
      </c>
      <c r="B78" s="220" t="str">
        <f>IF(T78="","x7","b3")</f>
        <v>b3</v>
      </c>
      <c r="C78" s="539" t="str">
        <f>IF(B78="x7","","   B1b")</f>
        <v>   B1b</v>
      </c>
      <c r="D78" s="548"/>
      <c r="E78" s="530" t="str">
        <f>IF(OR($E$74=1,'DB'!$ET$4="DD",AND('DB'!$EV$4='DB'!$ET$4,'DB'!$HM$4='DB'!$HL$4,'DB'!$HR$4&gt;='DB'!$HL$4)),"Degree of belief in threatening processes causing declines:","")</f>
        <v>Degree of belief in threatening processes causing declines:</v>
      </c>
      <c r="F78" s="530"/>
      <c r="G78" s="532"/>
      <c r="H78" s="533"/>
      <c r="I78" s="533"/>
      <c r="J78" s="533"/>
      <c r="K78" s="533"/>
      <c r="L78" s="533"/>
      <c r="M78" s="534"/>
      <c r="N78" s="533"/>
      <c r="O78" s="533"/>
      <c r="P78" s="533"/>
      <c r="Q78" s="533"/>
      <c r="R78" s="533"/>
      <c r="S78" s="542"/>
      <c r="T78" s="536">
        <f>IF(E78="","",'DB'!$BC$4)</f>
        <v>0</v>
      </c>
      <c r="U78" s="537"/>
      <c r="V78" s="544" t="str">
        <f>IF(W78="","","&gt;")</f>
        <v>&gt;</v>
      </c>
      <c r="W78" s="538" t="str">
        <f>IF(T78="","","0.5")</f>
        <v>0.5</v>
      </c>
      <c r="X78" s="227"/>
    </row>
    <row r="79" spans="1:24" ht="12.75">
      <c r="A79" s="226">
        <v>31</v>
      </c>
      <c r="B79" s="220" t="str">
        <f>IF(T79="","x31","e1")</f>
        <v>x31</v>
      </c>
      <c r="C79" s="529">
        <f>IF(B79="x31","","E")</f>
      </c>
      <c r="D79" s="530">
        <f>IF(OR($E$74=1,'DB'!$ET$4="DD",AND(OR('DB'!$IH$4=3,'DB'!$IH$4=2),'DB'!$EY$4='DB'!$ET$4)),"Probability of ecosystem collapse within 50 years:","")</f>
      </c>
      <c r="E79" s="530"/>
      <c r="F79" s="530"/>
      <c r="G79" s="532"/>
      <c r="H79" s="533"/>
      <c r="I79" s="533"/>
      <c r="J79" s="533"/>
      <c r="K79" s="533"/>
      <c r="L79" s="533"/>
      <c r="M79" s="534"/>
      <c r="N79" s="533"/>
      <c r="O79" s="533"/>
      <c r="P79" s="533"/>
      <c r="Q79" s="533"/>
      <c r="R79" s="533"/>
      <c r="S79" s="535"/>
      <c r="T79" s="536">
        <f>IF(D79="","",'DB'!$DZ$4)</f>
      </c>
      <c r="U79" s="537"/>
      <c r="V79" s="544">
        <f>IF(W79="","","&gt;")</f>
      </c>
      <c r="W79" s="538">
        <f>IF(T79="","",IF('DB'!$GB$4=3,"50% (CR)","20% (EN)"))</f>
      </c>
      <c r="X79" s="227"/>
    </row>
    <row r="80" spans="1:24" ht="12.75">
      <c r="A80" s="226">
        <v>1</v>
      </c>
      <c r="B80" s="220" t="str">
        <f>IF(T80="","x1","a1")</f>
        <v>a1</v>
      </c>
      <c r="C80" s="529" t="str">
        <f>IF(B80="x1","","A1")</f>
        <v>A1</v>
      </c>
      <c r="D80" s="530" t="str">
        <f>IF(OR($E$74=1,'DB'!$ET$4="DD",AND('DB'!$HG$4='DB'!$HF$4,'DB'!$EU$4='DB'!$ET$4)),"Reduction in geographic distribution (%) over past 50 years of:","")</f>
        <v>Reduction in geographic distribution (%) over past 50 years of:</v>
      </c>
      <c r="E80" s="531"/>
      <c r="F80" s="530"/>
      <c r="G80" s="532"/>
      <c r="H80" s="533"/>
      <c r="I80" s="533"/>
      <c r="J80" s="533"/>
      <c r="K80" s="533"/>
      <c r="L80" s="533"/>
      <c r="M80" s="534"/>
      <c r="N80" s="533"/>
      <c r="O80" s="533"/>
      <c r="P80" s="533"/>
      <c r="Q80" s="541"/>
      <c r="R80" s="533"/>
      <c r="S80" s="542"/>
      <c r="T80" s="536">
        <f>IF(D80="","",'DB'!$M$4)</f>
        <v>0</v>
      </c>
      <c r="U80" s="543"/>
      <c r="V80" s="544" t="str">
        <f>IF(W80="","","&gt;")</f>
        <v>&gt;</v>
      </c>
      <c r="W80" s="538" t="str">
        <f>IF(T80="","",IF('DB'!$FA$4=3,"80% (CR)",IF('DB'!$FA$4=2,"50% (EN)","30% (VU)")))</f>
        <v>30% (VU)</v>
      </c>
      <c r="X80" s="228"/>
    </row>
    <row r="81" spans="1:24" ht="12.75">
      <c r="A81" s="226">
        <v>10</v>
      </c>
      <c r="B81" s="220" t="str">
        <f>IF(T81="","x10","b6")</f>
        <v>b6</v>
      </c>
      <c r="C81" s="539" t="str">
        <f>IF(B81="x10","","   B2a")</f>
        <v>   B2a</v>
      </c>
      <c r="D81" s="548"/>
      <c r="E81" s="530" t="str">
        <f>IF(OR($E$74=1,'DB'!$ET$4="DD",AND('DB'!$EV$4='DB'!$ET$4,'DB'!$HN$4='DB'!$HL$4,'DB'!$HQ$4&gt;='DB'!$HL$4)),"Degree of belief in continuing decline:","")</f>
        <v>Degree of belief in continuing decline:</v>
      </c>
      <c r="F81" s="530"/>
      <c r="G81" s="532"/>
      <c r="H81" s="533"/>
      <c r="I81" s="533"/>
      <c r="J81" s="533"/>
      <c r="K81" s="533"/>
      <c r="L81" s="533"/>
      <c r="M81" s="534"/>
      <c r="N81" s="533"/>
      <c r="O81" s="533"/>
      <c r="P81" s="533"/>
      <c r="Q81" s="533"/>
      <c r="R81" s="533"/>
      <c r="S81" s="542"/>
      <c r="T81" s="536">
        <f>IF(E81="","",'DB'!$AP$4)</f>
        <v>0</v>
      </c>
      <c r="U81" s="537"/>
      <c r="V81" s="544" t="str">
        <f>IF(W81="","","&gt;")</f>
        <v>&gt;</v>
      </c>
      <c r="W81" s="538" t="str">
        <f>IF(T81="","","0.5")</f>
        <v>0.5</v>
      </c>
      <c r="X81" s="227"/>
    </row>
    <row r="82" spans="1:24" ht="12.75">
      <c r="A82" s="226">
        <v>11</v>
      </c>
      <c r="B82" s="220" t="str">
        <f>IF(T82="","x11","b7")</f>
        <v>b7</v>
      </c>
      <c r="C82" s="539" t="str">
        <f>IF(B82="x11","","   B2b")</f>
        <v>   B2b</v>
      </c>
      <c r="D82" s="548"/>
      <c r="E82" s="530" t="str">
        <f>IF(OR($E$74=1,'DB'!$ET$4="DD",AND('DB'!$EV$4='DB'!$ET$4,'DB'!$HN$4='DB'!$HL$4,'DB'!$HR$4&gt;='DB'!$HL$4)),"Degree of belief in threatening processes causing declines:","")</f>
        <v>Degree of belief in threatening processes causing declines:</v>
      </c>
      <c r="F82" s="530"/>
      <c r="G82" s="532"/>
      <c r="H82" s="533"/>
      <c r="I82" s="533"/>
      <c r="J82" s="533"/>
      <c r="K82" s="533"/>
      <c r="L82" s="533"/>
      <c r="M82" s="534"/>
      <c r="N82" s="533"/>
      <c r="O82" s="533"/>
      <c r="P82" s="533"/>
      <c r="Q82" s="533"/>
      <c r="R82" s="533"/>
      <c r="S82" s="535"/>
      <c r="T82" s="536">
        <f>IF(E82="","",'DB'!$BC$4)</f>
        <v>0</v>
      </c>
      <c r="U82" s="537"/>
      <c r="V82" s="544" t="str">
        <f>IF(W82="","","&gt;")</f>
        <v>&gt;</v>
      </c>
      <c r="W82" s="538" t="str">
        <f>IF(T82="","","0.5")</f>
        <v>0.5</v>
      </c>
      <c r="X82" s="227"/>
    </row>
    <row r="83" spans="1:24" ht="12.75">
      <c r="A83" s="226">
        <v>12</v>
      </c>
      <c r="B83" s="220" t="str">
        <f>IF(T83="","x12","b8")</f>
        <v>b8</v>
      </c>
      <c r="C83" s="539" t="str">
        <f>IF(B83="x12","","   B2c")</f>
        <v>   B2c</v>
      </c>
      <c r="D83" s="548"/>
      <c r="E83" s="530" t="str">
        <f>IF(OR($E$74=1,'DB'!$ET$4="DD",AND('DB'!$EV$4='DB'!$ET$4,'DB'!$HN$4='DB'!$HL$4,'DB'!$HS$4&gt;='DB'!$HL$4)),"Number of locations:","")</f>
        <v>Number of locations:</v>
      </c>
      <c r="F83" s="530"/>
      <c r="G83" s="532"/>
      <c r="H83" s="533"/>
      <c r="I83" s="533"/>
      <c r="J83" s="533"/>
      <c r="K83" s="533"/>
      <c r="L83" s="533"/>
      <c r="M83" s="534"/>
      <c r="N83" s="533"/>
      <c r="O83" s="533"/>
      <c r="P83" s="533"/>
      <c r="Q83" s="533"/>
      <c r="R83" s="533"/>
      <c r="S83" s="535"/>
      <c r="T83" s="536" t="str">
        <f>IF(E83="","",'DB'!$AX$4)</f>
        <v>DD</v>
      </c>
      <c r="U83" s="537"/>
      <c r="V83" s="544" t="str">
        <f>IF(W83="","","&lt;")</f>
        <v>&lt;</v>
      </c>
      <c r="W83" s="538" t="str">
        <f>IF(T83="","",IF('DB'!$FJ$4=3,"1 (CR)",IF('DB'!$FJ$4=2,"5 (EN)","10 (VU)")))</f>
        <v>1 (CR)</v>
      </c>
      <c r="X83" s="227"/>
    </row>
    <row r="84" spans="1:24" ht="12.75">
      <c r="A84" s="226">
        <v>13</v>
      </c>
      <c r="B84" s="220" t="str">
        <f>IF(T84="","x13","b9")</f>
        <v>b9</v>
      </c>
      <c r="C84" s="529" t="str">
        <f>IF(B84="x13","","B3")</f>
        <v>B3</v>
      </c>
      <c r="D84" s="530" t="str">
        <f>IF(OR($E$74=1,'DB'!$ET$4="DD",AND('DB'!$EV$4='DB'!$ET$4,'DB'!$HU$4='DB'!$HL$4)),"Degree of belief in very small number of locations:","")</f>
        <v>Degree of belief in very small number of locations:</v>
      </c>
      <c r="E84" s="540"/>
      <c r="F84" s="530"/>
      <c r="G84" s="532"/>
      <c r="H84" s="533"/>
      <c r="I84" s="533"/>
      <c r="J84" s="533"/>
      <c r="K84" s="533"/>
      <c r="L84" s="533"/>
      <c r="M84" s="534"/>
      <c r="N84" s="533"/>
      <c r="O84" s="533"/>
      <c r="P84" s="533"/>
      <c r="Q84" s="533"/>
      <c r="R84" s="533"/>
      <c r="S84" s="535"/>
      <c r="T84" s="536">
        <f>IF(D84="","",'DB'!$AY$4)</f>
        <v>0</v>
      </c>
      <c r="U84" s="537"/>
      <c r="V84" s="544" t="str">
        <f>IF(W84="","","&gt;")</f>
        <v>&gt;</v>
      </c>
      <c r="W84" s="538" t="str">
        <f>IF(T84="","","0.5 (VU)")</f>
        <v>0.5 (VU)</v>
      </c>
      <c r="X84" s="227"/>
    </row>
    <row r="85" spans="1:24" ht="12.75">
      <c r="A85" s="226">
        <v>14</v>
      </c>
      <c r="B85" s="220" t="str">
        <f>IF(T85="","x14","b9.1")</f>
        <v>b9.1</v>
      </c>
      <c r="C85" s="539"/>
      <c r="D85" s="530" t="str">
        <f>IF(OR($E$74=1,'DB'!$ET$4="DD",AND('DB'!$EV$4='DB'!$ET$4,'DB'!$HU$4='DB'!$HL$4)),"Degree of belief in subsceptibility to human activities/stochastic events:","")</f>
        <v>Degree of belief in subsceptibility to human activities/stochastic events:</v>
      </c>
      <c r="E85" s="540"/>
      <c r="F85" s="530"/>
      <c r="G85" s="532"/>
      <c r="H85" s="533"/>
      <c r="I85" s="533"/>
      <c r="J85" s="533"/>
      <c r="K85" s="533"/>
      <c r="L85" s="533"/>
      <c r="M85" s="534"/>
      <c r="N85" s="533"/>
      <c r="O85" s="533"/>
      <c r="P85" s="533"/>
      <c r="Q85" s="533"/>
      <c r="R85" s="533"/>
      <c r="S85" s="535"/>
      <c r="T85" s="536">
        <f>IF(D85="","",'DB'!$BH$4)</f>
        <v>0</v>
      </c>
      <c r="U85" s="537"/>
      <c r="V85" s="544" t="str">
        <f>IF(W85="","","&gt;")</f>
        <v>&gt;</v>
      </c>
      <c r="W85" s="538" t="str">
        <f>IF(T85="","","0.5 (VU)")</f>
        <v>0.5 (VU)</v>
      </c>
      <c r="X85" s="227"/>
    </row>
    <row r="86" spans="1:24" ht="12.75">
      <c r="A86" s="226">
        <v>15</v>
      </c>
      <c r="B86" s="220" t="str">
        <f>IF(T86="","x15","c1")</f>
        <v>c1</v>
      </c>
      <c r="C86" s="529" t="str">
        <f>IF(B86="x15","","C1")</f>
        <v>C1</v>
      </c>
      <c r="D86" s="530" t="str">
        <f>IF(OR($E$74=1,'DB'!$ET$4="DD",AND('DB'!$HV$4='DB'!$HW$4,'DB'!$EW$4='DB'!$ET$4)),"Change in an environmental variable - past 50 years - extent (%)","")</f>
        <v>Change in an environmental variable - past 50 years - extent (%)</v>
      </c>
      <c r="E86" s="530"/>
      <c r="F86" s="530"/>
      <c r="G86" s="532"/>
      <c r="H86" s="533"/>
      <c r="I86" s="533"/>
      <c r="J86" s="533"/>
      <c r="K86" s="533"/>
      <c r="L86" s="533"/>
      <c r="M86" s="534"/>
      <c r="N86" s="533"/>
      <c r="O86" s="533"/>
      <c r="P86" s="533"/>
      <c r="Q86" s="533"/>
      <c r="R86" s="533"/>
      <c r="S86" s="535"/>
      <c r="T86" s="536">
        <f>IF(D86="","",'DB'!$BL$4)</f>
        <v>0</v>
      </c>
      <c r="U86" s="537"/>
      <c r="V86" s="544">
        <f>IF(W86="80% (CR)","&gt;","")</f>
      </c>
      <c r="W86" s="538" t="str">
        <f>IF(T86="","",IF('DB'!$HW$4=3,"80% (CR)",IF('DB'!$HW$4=2,"conditional (EN)","conditional (VU)")))</f>
        <v>conditional (VU)</v>
      </c>
      <c r="X86" s="227"/>
    </row>
    <row r="87" spans="1:24" ht="12.75">
      <c r="A87" s="226">
        <v>16</v>
      </c>
      <c r="B87" s="220" t="str">
        <f>IF(T87="","x16","c2")</f>
        <v>c2</v>
      </c>
      <c r="C87" s="539"/>
      <c r="D87" s="530" t="str">
        <f>IF(OR($E$74=1,'DB'!$ET$4="DD",AND('DB'!$HV$4='DB'!$HW$4,'DB'!$EW$4='DB'!$ET$4)),"Change in an environmental variable - past 50 years - severity (%)","")</f>
        <v>Change in an environmental variable - past 50 years - severity (%)</v>
      </c>
      <c r="E87" s="530"/>
      <c r="F87" s="530"/>
      <c r="G87" s="532"/>
      <c r="H87" s="533"/>
      <c r="I87" s="533"/>
      <c r="J87" s="533"/>
      <c r="K87" s="533"/>
      <c r="L87" s="533"/>
      <c r="M87" s="534"/>
      <c r="N87" s="533"/>
      <c r="O87" s="533"/>
      <c r="P87" s="533"/>
      <c r="Q87" s="533"/>
      <c r="R87" s="533"/>
      <c r="S87" s="535"/>
      <c r="T87" s="536">
        <f>IF(D87="","",'DB'!$BO$4)</f>
        <v>0</v>
      </c>
      <c r="U87" s="537"/>
      <c r="V87" s="544">
        <f>IF(W87="80% (CR)","&gt;","")</f>
      </c>
      <c r="W87" s="538" t="str">
        <f>IF(T87="","",IF('DB'!$HW$4=3,"80% (CR)",IF('DB'!$HW$4=2,"conditional (EN)","conditional (VU)")))</f>
        <v>conditional (VU)</v>
      </c>
      <c r="X87" s="227"/>
    </row>
    <row r="88" spans="1:24" ht="12.75">
      <c r="A88" s="226">
        <v>17</v>
      </c>
      <c r="B88" s="220" t="str">
        <f>IF(T88="","x17","c3")</f>
        <v>c3</v>
      </c>
      <c r="C88" s="563" t="str">
        <f>IF(B88="x17","","C2a")</f>
        <v>C2a</v>
      </c>
      <c r="D88" s="530" t="str">
        <f>IF(OR($E$74=1,'DB'!$ET$4="DD",AND('DB'!$HV$4='DB'!$HY$4,'DB'!$EW$4='DB'!$ET$4)),"Change in an environmental variable - next 50 years - extent (%)","")</f>
        <v>Change in an environmental variable - next 50 years - extent (%)</v>
      </c>
      <c r="E88" s="531"/>
      <c r="F88" s="530"/>
      <c r="G88" s="532"/>
      <c r="H88" s="533"/>
      <c r="I88" s="533"/>
      <c r="J88" s="533"/>
      <c r="K88" s="533"/>
      <c r="L88" s="533"/>
      <c r="M88" s="534"/>
      <c r="N88" s="533"/>
      <c r="O88" s="533"/>
      <c r="P88" s="533"/>
      <c r="Q88" s="533"/>
      <c r="R88" s="533"/>
      <c r="S88" s="535"/>
      <c r="T88" s="536">
        <f>IF(D88="","",'DB'!$BT$4)</f>
        <v>0</v>
      </c>
      <c r="U88" s="537"/>
      <c r="V88" s="544">
        <f>IF(W88="80% (CR)","&gt;","")</f>
      </c>
      <c r="W88" s="538" t="str">
        <f>IF(T88="","",IF('DB'!$HY$4=3,"80% (CR)",IF('DB'!$HY$4=2,"conditional (EN)","conditional (VU)")))</f>
        <v>conditional (VU)</v>
      </c>
      <c r="X88" s="227"/>
    </row>
    <row r="89" spans="1:24" ht="12.75">
      <c r="A89" s="226">
        <v>18</v>
      </c>
      <c r="B89" s="220" t="str">
        <f>IF(T89="","x18","c4")</f>
        <v>c4</v>
      </c>
      <c r="C89" s="539"/>
      <c r="D89" s="530" t="str">
        <f>IF(OR($E$74=1,'DB'!$ET$4="DD",AND('DB'!$HV$4='DB'!$HY$4,'DB'!$EW$4='DB'!$ET$4)),"Change in an environmental variable - next 50 years - severity (%)","")</f>
        <v>Change in an environmental variable - next 50 years - severity (%)</v>
      </c>
      <c r="E89" s="540"/>
      <c r="F89" s="530"/>
      <c r="G89" s="532"/>
      <c r="H89" s="533"/>
      <c r="I89" s="533"/>
      <c r="J89" s="533"/>
      <c r="K89" s="533"/>
      <c r="L89" s="533"/>
      <c r="M89" s="534"/>
      <c r="N89" s="533"/>
      <c r="O89" s="533"/>
      <c r="P89" s="533"/>
      <c r="Q89" s="533"/>
      <c r="R89" s="533"/>
      <c r="S89" s="535"/>
      <c r="T89" s="536">
        <f>IF(D89="","",'DB'!$BW$4)</f>
        <v>0</v>
      </c>
      <c r="U89" s="537"/>
      <c r="V89" s="544">
        <f>IF(W89="80% (CR)","&gt;","")</f>
      </c>
      <c r="W89" s="538" t="str">
        <f>IF(T89="","",IF('DB'!$HY$4=3,"80% (CR)",IF('DB'!$HY$4=2,"conditional (EN)","conditional (VU)")))</f>
        <v>conditional (VU)</v>
      </c>
      <c r="X89" s="227"/>
    </row>
    <row r="90" spans="1:24" ht="12.75">
      <c r="A90" s="226">
        <v>19</v>
      </c>
      <c r="B90" s="220" t="str">
        <f>IF(T90="","x19","c5")</f>
        <v>c5</v>
      </c>
      <c r="C90" s="563" t="str">
        <f>IF(B90="x19","","C2b")</f>
        <v>C2b</v>
      </c>
      <c r="D90" s="530" t="str">
        <f>IF(OR($E$74=1,'DB'!$ET$4="DD",AND('DB'!$HV$4='DB'!$HZ$4,'DB'!$EW$4='DB'!$ET$4)),"Change in an environmental variable - any 50 years - extent (%)","")</f>
        <v>Change in an environmental variable - any 50 years - extent (%)</v>
      </c>
      <c r="E90" s="530"/>
      <c r="F90" s="530"/>
      <c r="G90" s="532"/>
      <c r="H90" s="533"/>
      <c r="I90" s="533"/>
      <c r="J90" s="533"/>
      <c r="K90" s="533"/>
      <c r="L90" s="533"/>
      <c r="M90" s="534"/>
      <c r="N90" s="533"/>
      <c r="O90" s="533"/>
      <c r="P90" s="533"/>
      <c r="Q90" s="533"/>
      <c r="R90" s="533"/>
      <c r="S90" s="535"/>
      <c r="T90" s="536">
        <f>IF(D90="","",'DB'!$CB$4)</f>
        <v>0</v>
      </c>
      <c r="U90" s="537"/>
      <c r="V90" s="544">
        <f>IF(W90="80% (CR)","&gt;","")</f>
      </c>
      <c r="W90" s="538" t="str">
        <f>IF(T90="","",IF('DB'!$HZ$4=3,"80% (CR)",IF('DB'!$GZ$4=2,"conditional (EN)","conditional (VU)")))</f>
        <v>conditional (VU)</v>
      </c>
      <c r="X90" s="227"/>
    </row>
    <row r="91" spans="1:24" ht="12.75">
      <c r="A91" s="226">
        <v>2</v>
      </c>
      <c r="B91" s="220" t="str">
        <f>IF(T91="","x2","a2")</f>
        <v>a2</v>
      </c>
      <c r="C91" s="529" t="str">
        <f>IF(B91="x2","","A2a")</f>
        <v>A2a</v>
      </c>
      <c r="D91" s="530" t="str">
        <f>IF(OR($E$74=1,'DB'!$ET$4="DD",AND('DB'!$HI$4='DB'!$HF$4,'DB'!$EU$4='DB'!$ET$4)),"Reduction in geographic distribution (%) over next 50 years of:","")</f>
        <v>Reduction in geographic distribution (%) over next 50 years of:</v>
      </c>
      <c r="E91" s="531"/>
      <c r="F91" s="530"/>
      <c r="G91" s="532"/>
      <c r="H91" s="533"/>
      <c r="I91" s="533"/>
      <c r="J91" s="533"/>
      <c r="K91" s="533"/>
      <c r="L91" s="533"/>
      <c r="M91" s="534"/>
      <c r="N91" s="533"/>
      <c r="O91" s="533"/>
      <c r="P91" s="533"/>
      <c r="Q91" s="533"/>
      <c r="R91" s="533"/>
      <c r="S91" s="542"/>
      <c r="T91" s="536">
        <f>IF(D91="","",'DB'!$R$4)</f>
        <v>0</v>
      </c>
      <c r="U91" s="543"/>
      <c r="V91" s="544" t="str">
        <f>IF(W91="","","&gt;")</f>
        <v>&gt;</v>
      </c>
      <c r="W91" s="538" t="str">
        <f>IF(T91="","",IF('DB'!$FC$4=3,"80% (CR)",IF('DB'!$FC$4=2,"50% (EN)","30% (VU)")))</f>
        <v>30% (VU)</v>
      </c>
      <c r="X91" s="227"/>
    </row>
    <row r="92" spans="1:24" ht="12.75">
      <c r="A92" s="226">
        <v>20</v>
      </c>
      <c r="B92" s="220" t="str">
        <f>IF(W92="","x20","c6")</f>
        <v>c6</v>
      </c>
      <c r="C92" s="539"/>
      <c r="D92" s="530" t="str">
        <f>IF(OR($E$74=1,'DB'!$ET$4="DD",AND('DB'!$HV$4='DB'!$HZ$4,'DB'!$EW$4='DB'!$ET$4)),"Change in an environmental variable - any 50 years - severity (%)","")</f>
        <v>Change in an environmental variable - any 50 years - severity (%)</v>
      </c>
      <c r="E92" s="530"/>
      <c r="F92" s="530"/>
      <c r="G92" s="532"/>
      <c r="H92" s="533"/>
      <c r="I92" s="533"/>
      <c r="J92" s="533"/>
      <c r="K92" s="533"/>
      <c r="L92" s="533"/>
      <c r="M92" s="534"/>
      <c r="N92" s="533"/>
      <c r="O92" s="533"/>
      <c r="P92" s="533"/>
      <c r="Q92" s="533"/>
      <c r="R92" s="533"/>
      <c r="S92" s="535"/>
      <c r="T92" s="536">
        <f>IF(D92="","",'DB'!$CE$4)</f>
        <v>0</v>
      </c>
      <c r="U92" s="537"/>
      <c r="V92" s="544">
        <f>IF(W92="80% (CR)","&gt;","")</f>
      </c>
      <c r="W92" s="538" t="str">
        <f>IF(T92="","",IF('DB'!$HZ$4=3,"80% (CR)",IF('DB'!$GZ$4=2,"conditional (EN)","conditional (VU)")))</f>
        <v>conditional (VU)</v>
      </c>
      <c r="X92" s="227"/>
    </row>
    <row r="93" spans="1:24" ht="12.75">
      <c r="A93" s="226">
        <v>21</v>
      </c>
      <c r="B93" s="220" t="str">
        <f>IF(W93="","x21","c7")</f>
        <v>c7</v>
      </c>
      <c r="C93" s="563" t="str">
        <f>IF(B93="x21","","C3")</f>
        <v>C3</v>
      </c>
      <c r="D93" s="530" t="str">
        <f>IF(OR($E$74=1,'DB'!$ET$4="DD",AND('DB'!$HV$4='DB'!$IA$4,'DB'!$EW$4='DB'!$ET$4)),"Change in an environmental variable - since 1750 - extent (%)","")</f>
        <v>Change in an environmental variable - since 1750 - extent (%)</v>
      </c>
      <c r="E93" s="530"/>
      <c r="F93" s="530"/>
      <c r="G93" s="532"/>
      <c r="H93" s="533"/>
      <c r="I93" s="533"/>
      <c r="J93" s="533"/>
      <c r="K93" s="533"/>
      <c r="L93" s="533"/>
      <c r="M93" s="534"/>
      <c r="N93" s="533"/>
      <c r="O93" s="533"/>
      <c r="P93" s="533"/>
      <c r="Q93" s="533"/>
      <c r="R93" s="533"/>
      <c r="S93" s="535"/>
      <c r="T93" s="536">
        <f>IF(D93="","",'DB'!$CK$4)</f>
        <v>0</v>
      </c>
      <c r="U93" s="537"/>
      <c r="V93" s="544">
        <f>IF(W93="90% (CR)","&gt;","")</f>
      </c>
      <c r="W93" s="538" t="str">
        <f>IF(T93="","",IF('DB'!$IA$4=3,"90% (CR)",IF('DB'!$GA$4=2,"conditional (EN)","conditional (VU)")))</f>
        <v>conditional (VU)</v>
      </c>
      <c r="X93" s="228"/>
    </row>
    <row r="94" spans="1:24" ht="12.75">
      <c r="A94" s="226">
        <v>22</v>
      </c>
      <c r="B94" s="220" t="str">
        <f>IF(T94="","x22","c8")</f>
        <v>c8</v>
      </c>
      <c r="C94" s="539"/>
      <c r="D94" s="530" t="str">
        <f>IF(OR($E$74=1,'DB'!$ET$4="DD",AND('DB'!$HV$4='DB'!$IA$4,'DB'!$EW$4='DB'!$ET$4)),"Change in an environmental variable - since 1750 - severity (%)","")</f>
        <v>Change in an environmental variable - since 1750 - severity (%)</v>
      </c>
      <c r="E94" s="530"/>
      <c r="F94" s="530"/>
      <c r="G94" s="532"/>
      <c r="H94" s="533"/>
      <c r="I94" s="533"/>
      <c r="J94" s="533"/>
      <c r="K94" s="533"/>
      <c r="L94" s="533"/>
      <c r="M94" s="534"/>
      <c r="N94" s="533"/>
      <c r="O94" s="533"/>
      <c r="P94" s="533"/>
      <c r="Q94" s="533"/>
      <c r="R94" s="533"/>
      <c r="S94" s="535"/>
      <c r="T94" s="536">
        <f>IF(D94="","",'DB'!$CN$4)</f>
        <v>0</v>
      </c>
      <c r="U94" s="537"/>
      <c r="V94" s="544">
        <f>IF(W94="90% (CR)","&gt;","")</f>
      </c>
      <c r="W94" s="538" t="str">
        <f>IF(T94="","",IF('DB'!$IA$4=3,"90% (CR)",IF('DB'!$GA$4=2,"conditional (EN)","conditional (VU)")))</f>
        <v>conditional (VU)</v>
      </c>
      <c r="X94" s="227"/>
    </row>
    <row r="95" spans="1:24" ht="12.75">
      <c r="A95" s="226">
        <v>23</v>
      </c>
      <c r="B95" s="220" t="str">
        <f>IF(T95="","x23","d1")</f>
        <v>d1</v>
      </c>
      <c r="C95" s="529" t="str">
        <f>IF(B95="x23","","D1")</f>
        <v>D1</v>
      </c>
      <c r="D95" s="530" t="str">
        <f>IF(OR($E$74=1,'DB'!$ET$4="DD",AND('DB'!$IB$4='DB'!$IC$4,'DB'!$EX$4='DB'!$ET$4)),"Disruption of biotic interactions - past 50 years - extent (%)","")</f>
        <v>Disruption of biotic interactions - past 50 years - extent (%)</v>
      </c>
      <c r="E95" s="530"/>
      <c r="F95" s="530"/>
      <c r="G95" s="532"/>
      <c r="H95" s="533"/>
      <c r="I95" s="533"/>
      <c r="J95" s="533"/>
      <c r="K95" s="533"/>
      <c r="L95" s="533"/>
      <c r="M95" s="534"/>
      <c r="N95" s="533"/>
      <c r="O95" s="533"/>
      <c r="P95" s="533"/>
      <c r="Q95" s="533"/>
      <c r="R95" s="533"/>
      <c r="S95" s="535"/>
      <c r="T95" s="536">
        <f>IF(D95="","",'DB'!$CS$4)</f>
        <v>0</v>
      </c>
      <c r="U95" s="537"/>
      <c r="V95" s="544">
        <f aca="true" t="shared" si="2" ref="V95:V100">IF(W95="80% (CR)","&gt;","")</f>
      </c>
      <c r="W95" s="538" t="str">
        <f>IF(T95="","",IF('DB'!$IC$4=3,"80% (CR)",IF('DB'!$IC$4=2,"conditional (EN)","conditional (VU)")))</f>
        <v>conditional (VU)</v>
      </c>
      <c r="X95" s="228"/>
    </row>
    <row r="96" spans="1:24" ht="12.75">
      <c r="A96" s="226">
        <v>24</v>
      </c>
      <c r="B96" s="220" t="str">
        <f>IF(T96="","x24","d2")</f>
        <v>d2</v>
      </c>
      <c r="C96" s="539"/>
      <c r="D96" s="530" t="str">
        <f>IF(OR($E$74=1,'DB'!$ET$4="DD",AND('DB'!$IB$4='DB'!$IC$4,'DB'!$EX$4='DB'!$ET$4)),"Disruption of biotic interactions - past 50 years - severity (%)","")</f>
        <v>Disruption of biotic interactions - past 50 years - severity (%)</v>
      </c>
      <c r="E96" s="530"/>
      <c r="F96" s="530"/>
      <c r="G96" s="532"/>
      <c r="H96" s="533"/>
      <c r="I96" s="533"/>
      <c r="J96" s="533"/>
      <c r="K96" s="533"/>
      <c r="L96" s="533"/>
      <c r="M96" s="534"/>
      <c r="N96" s="533"/>
      <c r="O96" s="533"/>
      <c r="P96" s="533"/>
      <c r="Q96" s="533"/>
      <c r="R96" s="533"/>
      <c r="S96" s="535"/>
      <c r="T96" s="536">
        <f>IF(D96="","",'DB'!$CV$4)</f>
        <v>0</v>
      </c>
      <c r="U96" s="545"/>
      <c r="V96" s="544">
        <f t="shared" si="2"/>
      </c>
      <c r="W96" s="538" t="str">
        <f>IF(T96="","",IF('DB'!$IC$4=3,"80% (CR)",IF('DB'!$IC$4=2,"conditional (EN)","conditional (VU)")))</f>
        <v>conditional (VU)</v>
      </c>
      <c r="X96" s="227"/>
    </row>
    <row r="97" spans="1:24" ht="12.75">
      <c r="A97" s="226">
        <v>25</v>
      </c>
      <c r="B97" s="220" t="str">
        <f>IF(T97="","x25","d3")</f>
        <v>d3</v>
      </c>
      <c r="C97" s="563" t="str">
        <f>IF(B97="x25","","D2a")</f>
        <v>D2a</v>
      </c>
      <c r="D97" s="530" t="str">
        <f>IF(OR($E$74=1,'DB'!$ET$4="DD",AND('DB'!$IB$4='DB'!$IE$4,'DB'!$EX$4='DB'!$ET$4)),"Disruption of biotic interactions - next 50 years - extent (%)","")</f>
        <v>Disruption of biotic interactions - next 50 years - extent (%)</v>
      </c>
      <c r="E97" s="530"/>
      <c r="F97" s="530"/>
      <c r="G97" s="532"/>
      <c r="H97" s="533"/>
      <c r="I97" s="533"/>
      <c r="J97" s="533"/>
      <c r="K97" s="533"/>
      <c r="L97" s="533"/>
      <c r="M97" s="534"/>
      <c r="N97" s="533"/>
      <c r="O97" s="533"/>
      <c r="P97" s="533"/>
      <c r="Q97" s="533"/>
      <c r="R97" s="533"/>
      <c r="S97" s="535"/>
      <c r="T97" s="536">
        <f>IF(D97="","",'DB'!$DA$4)</f>
        <v>0</v>
      </c>
      <c r="U97" s="537"/>
      <c r="V97" s="544">
        <f t="shared" si="2"/>
      </c>
      <c r="W97" s="538" t="str">
        <f>IF(T97="","",IF('DB'!$IE$4=3,"80% (CR)",IF('DB'!$IE$4=2,"conditional (EN)","conditional (VU)")))</f>
        <v>conditional (VU)</v>
      </c>
      <c r="X97" s="227"/>
    </row>
    <row r="98" spans="1:24" ht="12.75">
      <c r="A98" s="226">
        <v>26</v>
      </c>
      <c r="B98" s="220" t="str">
        <f>IF(T98="","x26","d4")</f>
        <v>d4</v>
      </c>
      <c r="C98" s="539"/>
      <c r="D98" s="530" t="str">
        <f>IF(OR($E$74=1,'DB'!$ET$4="DD",AND('DB'!$IB$4='DB'!$IE$4,'DB'!$EX$4='DB'!$ET$4)),"Disruption of biotic interactions - next 50 years - severity (%)","")</f>
        <v>Disruption of biotic interactions - next 50 years - severity (%)</v>
      </c>
      <c r="E98" s="530"/>
      <c r="F98" s="530"/>
      <c r="G98" s="532"/>
      <c r="H98" s="533"/>
      <c r="I98" s="533"/>
      <c r="J98" s="533"/>
      <c r="K98" s="533"/>
      <c r="L98" s="533"/>
      <c r="M98" s="534"/>
      <c r="N98" s="533"/>
      <c r="O98" s="533"/>
      <c r="P98" s="533"/>
      <c r="Q98" s="533"/>
      <c r="R98" s="533"/>
      <c r="S98" s="535"/>
      <c r="T98" s="536">
        <f>IF(D98="","",'DB'!$DD$4)</f>
        <v>0</v>
      </c>
      <c r="U98" s="537"/>
      <c r="V98" s="544">
        <f t="shared" si="2"/>
      </c>
      <c r="W98" s="538" t="str">
        <f>IF(T98="","",IF('DB'!$IE$4=3,"80% (CR)",IF('DB'!$IE$4=2,"conditional (EN)","conditional (VU)")))</f>
        <v>conditional (VU)</v>
      </c>
      <c r="X98" s="227"/>
    </row>
    <row r="99" spans="1:24" ht="12.75">
      <c r="A99" s="226">
        <v>27</v>
      </c>
      <c r="B99" s="220" t="str">
        <f>IF(T99="","x27","d5")</f>
        <v>d5</v>
      </c>
      <c r="C99" s="563" t="str">
        <f>IF(B99="x27","","D2b")</f>
        <v>D2b</v>
      </c>
      <c r="D99" s="530" t="str">
        <f>IF(OR($E$74=1,'DB'!$ET$4="DD",AND('DB'!$IB$4='DB'!$IF$4,'DB'!$EX$4='DB'!$ET$4)),"Disruption of biotic interactions - any 50 years - extent (%)","")</f>
        <v>Disruption of biotic interactions - any 50 years - extent (%)</v>
      </c>
      <c r="E99" s="530"/>
      <c r="F99" s="530"/>
      <c r="G99" s="530"/>
      <c r="H99" s="530"/>
      <c r="I99" s="530"/>
      <c r="J99" s="530"/>
      <c r="K99" s="530"/>
      <c r="L99" s="530"/>
      <c r="M99" s="530"/>
      <c r="N99" s="530"/>
      <c r="O99" s="530"/>
      <c r="P99" s="530"/>
      <c r="Q99" s="530"/>
      <c r="R99" s="530"/>
      <c r="S99" s="535"/>
      <c r="T99" s="536">
        <f>IF(D99="","",'DB'!$DI$4)</f>
        <v>0</v>
      </c>
      <c r="U99" s="537"/>
      <c r="V99" s="544">
        <f t="shared" si="2"/>
      </c>
      <c r="W99" s="538" t="str">
        <f>IF(T99="","",IF('DB'!$IF$4=3,"80% (CR)",IF('DB'!$IF$4=2,"conditional (EN)","conditional (VU)")))</f>
        <v>conditional (VU)</v>
      </c>
      <c r="X99" s="227"/>
    </row>
    <row r="100" spans="1:24" ht="12.75">
      <c r="A100" s="226">
        <v>28</v>
      </c>
      <c r="B100" s="220" t="str">
        <f>IF(T100="","x28","d6")</f>
        <v>d6</v>
      </c>
      <c r="C100" s="539"/>
      <c r="D100" s="530" t="str">
        <f>IF(OR($E$74=1,'DB'!$ET$4="DD",AND('DB'!$IB$4='DB'!$IF$4,'DB'!$EX$4='DB'!$ET$4)),"Disruption of biotic interactions - any 50 years - severity (%)","")</f>
        <v>Disruption of biotic interactions - any 50 years - severity (%)</v>
      </c>
      <c r="E100" s="530"/>
      <c r="F100" s="530"/>
      <c r="G100" s="532"/>
      <c r="H100" s="533"/>
      <c r="I100" s="533"/>
      <c r="J100" s="533"/>
      <c r="K100" s="533"/>
      <c r="L100" s="533"/>
      <c r="M100" s="534"/>
      <c r="N100" s="533"/>
      <c r="O100" s="533"/>
      <c r="P100" s="533"/>
      <c r="Q100" s="533"/>
      <c r="R100" s="533"/>
      <c r="S100" s="535"/>
      <c r="T100" s="536">
        <f>IF(D100="","",'DB'!$DL$4)</f>
        <v>0</v>
      </c>
      <c r="U100" s="546"/>
      <c r="V100" s="544">
        <f t="shared" si="2"/>
      </c>
      <c r="W100" s="538" t="str">
        <f>IF(T100="","",IF('DB'!$IF$4=3,"80% (CR)",IF('DB'!$IF$4=2,"conditional (EN)","conditional (VU)")))</f>
        <v>conditional (VU)</v>
      </c>
      <c r="X100" s="227"/>
    </row>
    <row r="101" spans="1:24" ht="12.75">
      <c r="A101" s="226">
        <v>29</v>
      </c>
      <c r="B101" s="220" t="str">
        <f>IF(T101="","x29","d7")</f>
        <v>d7</v>
      </c>
      <c r="C101" s="563" t="str">
        <f>IF(B101="x29","","D3")</f>
        <v>D3</v>
      </c>
      <c r="D101" s="530" t="str">
        <f>IF(OR($E$74=1,'DB'!$ET$4="DD",AND('DB'!$IB$4='DB'!$IG$4,'DB'!$EX$4='DB'!$ET$4)),"Disruption of biotic interactions - since 1750 - extent (%)","")</f>
        <v>Disruption of biotic interactions - since 1750 - extent (%)</v>
      </c>
      <c r="E101" s="530"/>
      <c r="F101" s="530"/>
      <c r="G101" s="532"/>
      <c r="H101" s="533"/>
      <c r="I101" s="533"/>
      <c r="J101" s="533"/>
      <c r="K101" s="533"/>
      <c r="L101" s="533"/>
      <c r="M101" s="534"/>
      <c r="N101" s="533"/>
      <c r="O101" s="533"/>
      <c r="P101" s="533"/>
      <c r="Q101" s="533"/>
      <c r="R101" s="533"/>
      <c r="S101" s="535"/>
      <c r="T101" s="536">
        <f>IF(D101="","",'DB'!$DR$4)</f>
        <v>0</v>
      </c>
      <c r="U101" s="537"/>
      <c r="V101" s="544">
        <f>IF(W101="90% (CR)","&gt;","")</f>
      </c>
      <c r="W101" s="538" t="str">
        <f>IF(T101="","",IF('DB'!$IG$4=3,"90% (CR)",IF('DB'!$IG$4=2,"conditional (EN)","conditional (VU)")))</f>
        <v>conditional (VU)</v>
      </c>
      <c r="X101" s="227"/>
    </row>
    <row r="102" spans="1:24" ht="12.75">
      <c r="A102" s="226">
        <v>3</v>
      </c>
      <c r="B102" s="220" t="str">
        <f>IF(T102="","x3","a3")</f>
        <v>a3</v>
      </c>
      <c r="C102" s="529" t="str">
        <f>IF(B102="x3","","A2b")</f>
        <v>A2b</v>
      </c>
      <c r="D102" s="530" t="str">
        <f>IF(OR($E$74=1,'DB'!$ET$4="DD",AND('DB'!$HJ$4='DB'!$HF$4,'DB'!$EU$4='DB'!$ET$4)),"Reduction in geographic distribution (%) over any 50 year period of:","")</f>
        <v>Reduction in geographic distribution (%) over any 50 year period of:</v>
      </c>
      <c r="E102" s="531"/>
      <c r="F102" s="530"/>
      <c r="G102" s="532"/>
      <c r="H102" s="533"/>
      <c r="I102" s="533"/>
      <c r="J102" s="533"/>
      <c r="K102" s="533"/>
      <c r="L102" s="533"/>
      <c r="M102" s="534"/>
      <c r="N102" s="533"/>
      <c r="O102" s="533"/>
      <c r="P102" s="533"/>
      <c r="Q102" s="533"/>
      <c r="R102" s="533"/>
      <c r="S102" s="542"/>
      <c r="T102" s="536">
        <f>IF(D102="","",'DB'!$W$4)</f>
        <v>0</v>
      </c>
      <c r="U102" s="537"/>
      <c r="V102" s="544" t="str">
        <f>IF(W102="","","&gt;")</f>
        <v>&gt;</v>
      </c>
      <c r="W102" s="538" t="str">
        <f>IF(T102="","",IF('DB'!$FD$4=3,"80% (CR)",IF('DB'!$FD$4=2,"50% (EN)","30% (VU)")))</f>
        <v>30% (VU)</v>
      </c>
      <c r="X102" s="227"/>
    </row>
    <row r="103" spans="1:24" ht="12.75">
      <c r="A103" s="226">
        <v>30</v>
      </c>
      <c r="B103" s="220" t="str">
        <f>IF(T103="","x30","d8")</f>
        <v>d8</v>
      </c>
      <c r="C103" s="539"/>
      <c r="D103" s="530" t="str">
        <f>IF(OR($E$74=1,'DB'!$ET$4="DD",AND('DB'!$IB$4='DB'!$IG$4,'DB'!$EX$4='DB'!$ET$4)),"Disruption of biotic interactions - since 1750 - severity (%)","")</f>
        <v>Disruption of biotic interactions - since 1750 - severity (%)</v>
      </c>
      <c r="E103" s="548"/>
      <c r="F103" s="530"/>
      <c r="G103" s="532"/>
      <c r="H103" s="533"/>
      <c r="I103" s="533"/>
      <c r="J103" s="533"/>
      <c r="K103" s="533"/>
      <c r="L103" s="533"/>
      <c r="M103" s="534"/>
      <c r="N103" s="533"/>
      <c r="O103" s="533"/>
      <c r="P103" s="533"/>
      <c r="Q103" s="533"/>
      <c r="R103" s="533"/>
      <c r="S103" s="535"/>
      <c r="T103" s="536">
        <f>IF(D103="","",'DB'!$DU$4)</f>
        <v>0</v>
      </c>
      <c r="U103" s="537"/>
      <c r="V103" s="544">
        <f>IF(W103="90% (CR)","&gt;","")</f>
      </c>
      <c r="W103" s="538" t="str">
        <f>IF(T103="","",IF('DB'!$IG$4=3,"90% (CR)",IF('DB'!$IG$4=2,"conditional (EN)","conditional (VU)")))</f>
        <v>conditional (VU)</v>
      </c>
      <c r="X103" s="227"/>
    </row>
    <row r="104" spans="1:24" ht="12.75">
      <c r="A104" s="226">
        <v>32</v>
      </c>
      <c r="B104" s="220" t="str">
        <f>IF(W104="","x32","e2")</f>
        <v>x32</v>
      </c>
      <c r="C104" s="529">
        <f>IF(OR(B104="x32",C103="E"),"","E")</f>
      </c>
      <c r="D104" s="530">
        <f>IF(OR($E$74=1,'DB'!$ET$4="DD",AND('DB'!$IH$4=1,'DB'!$EY$4='DB'!$ET$4)),"Probability of ecosystem collapse within 100 years:","")</f>
      </c>
      <c r="E104" s="530"/>
      <c r="F104" s="530"/>
      <c r="G104" s="532"/>
      <c r="H104" s="533"/>
      <c r="I104" s="533"/>
      <c r="J104" s="533"/>
      <c r="K104" s="533"/>
      <c r="L104" s="533"/>
      <c r="M104" s="534"/>
      <c r="N104" s="533"/>
      <c r="O104" s="533"/>
      <c r="P104" s="533"/>
      <c r="Q104" s="533"/>
      <c r="R104" s="533"/>
      <c r="S104" s="535"/>
      <c r="T104" s="536">
        <f>IF(D104="","",'DB'!$EC$4)</f>
      </c>
      <c r="U104" s="537"/>
      <c r="V104" s="544">
        <f>IF(W104="","","&gt;")</f>
      </c>
      <c r="W104" s="538">
        <f>IF(T104="","","10% (VU)")</f>
      </c>
      <c r="X104" s="227"/>
    </row>
    <row r="105" spans="1:24" ht="12.75">
      <c r="A105" s="226">
        <v>4</v>
      </c>
      <c r="B105" s="220" t="str">
        <f>IF(T105="","x4","a4")</f>
        <v>a4</v>
      </c>
      <c r="C105" s="529" t="str">
        <f>IF(B105="x4","","A3")</f>
        <v>A3</v>
      </c>
      <c r="D105" s="530" t="str">
        <f>IF(OR($E$74=1,'DB'!$ET$4="DD",AND('DB'!$HK$4='DB'!$HF$4,'DB'!$EU$4='DB'!$ET$4)),"Reduction in geographic distribution (%) since 1750 of:","")</f>
        <v>Reduction in geographic distribution (%) since 1750 of:</v>
      </c>
      <c r="E105" s="531"/>
      <c r="F105" s="530"/>
      <c r="G105" s="532"/>
      <c r="H105" s="533"/>
      <c r="I105" s="533"/>
      <c r="J105" s="533"/>
      <c r="K105" s="533"/>
      <c r="L105" s="533"/>
      <c r="M105" s="534"/>
      <c r="N105" s="533"/>
      <c r="O105" s="533"/>
      <c r="P105" s="533"/>
      <c r="Q105" s="533"/>
      <c r="R105" s="533"/>
      <c r="S105" s="542"/>
      <c r="T105" s="536">
        <f>IF(D105="","",'DB'!$AC$4)</f>
        <v>0</v>
      </c>
      <c r="U105" s="537"/>
      <c r="V105" s="544" t="str">
        <f>IF(W105="","","&gt;")</f>
        <v>&gt;</v>
      </c>
      <c r="W105" s="538" t="str">
        <f>IF(T105="","",IF('DB'!$FE$4=3,"80% (CR)",IF('DB'!$FE$4=2,"50% (EN)","30% (VU)")))</f>
        <v>30% (VU)</v>
      </c>
      <c r="X105" s="227"/>
    </row>
    <row r="106" spans="1:24" ht="12.75">
      <c r="A106" s="226">
        <v>6</v>
      </c>
      <c r="B106" s="220" t="str">
        <f>IF(T106="","x6","b2")</f>
        <v>b2</v>
      </c>
      <c r="C106" s="539" t="str">
        <f>IF(B106="x6","","   B1a")</f>
        <v>   B1a</v>
      </c>
      <c r="D106" s="548"/>
      <c r="E106" s="530" t="str">
        <f>IF(OR($E$74=1,'DB'!$ET$4="DD",AND('DB'!$EV$4='DB'!$ET$4,'DB'!$HM$4='DB'!$HL$4,'DB'!$HQ$4&gt;='DB'!$HL$4)),"Degree of belief in continuing decline:","")</f>
        <v>Degree of belief in continuing decline:</v>
      </c>
      <c r="F106" s="530"/>
      <c r="G106" s="532"/>
      <c r="H106" s="533"/>
      <c r="I106" s="533"/>
      <c r="J106" s="533"/>
      <c r="K106" s="533"/>
      <c r="L106" s="533"/>
      <c r="M106" s="534"/>
      <c r="N106" s="533"/>
      <c r="O106" s="533"/>
      <c r="P106" s="533"/>
      <c r="Q106" s="533"/>
      <c r="R106" s="533"/>
      <c r="S106" s="542"/>
      <c r="T106" s="536">
        <f>IF(E106="","",'DB'!$AP$4)</f>
        <v>0</v>
      </c>
      <c r="U106" s="537"/>
      <c r="V106" s="544" t="str">
        <f>IF(W106="","","&gt;")</f>
        <v>&gt;</v>
      </c>
      <c r="W106" s="538" t="str">
        <f>IF(T106="","","0.5")</f>
        <v>0.5</v>
      </c>
      <c r="X106" s="227"/>
    </row>
    <row r="107" spans="1:24" ht="12.75">
      <c r="A107" s="226">
        <v>8</v>
      </c>
      <c r="B107" s="220" t="str">
        <f>IF(T107="","x8","b4")</f>
        <v>b4</v>
      </c>
      <c r="C107" s="539" t="str">
        <f>IF(B107="x8","","   B1c")</f>
        <v>   B1c</v>
      </c>
      <c r="D107" s="548"/>
      <c r="E107" s="530" t="str">
        <f>IF(OR($E$74=1,'DB'!$ET$4="DD",AND('DB'!$EV$4='DB'!$ET$4,'DB'!$HM$4='DB'!$HL$4,'DB'!$HS$4&gt;='DB'!$HL$4)),"Number of locations:","")</f>
        <v>Number of locations:</v>
      </c>
      <c r="F107" s="530"/>
      <c r="G107" s="532"/>
      <c r="H107" s="533"/>
      <c r="I107" s="533"/>
      <c r="J107" s="533"/>
      <c r="K107" s="533"/>
      <c r="L107" s="533"/>
      <c r="M107" s="534"/>
      <c r="N107" s="533"/>
      <c r="O107" s="533"/>
      <c r="P107" s="533"/>
      <c r="Q107" s="533"/>
      <c r="R107" s="533"/>
      <c r="S107" s="542"/>
      <c r="T107" s="536" t="str">
        <f>IF(E107="","",'DB'!$AX$4)</f>
        <v>DD</v>
      </c>
      <c r="U107" s="537"/>
      <c r="V107" s="544" t="str">
        <f>IF(W107="","","&lt;")</f>
        <v>&lt;</v>
      </c>
      <c r="W107" s="538" t="str">
        <f>IF(T107="","",IF('DB'!$FI$4=3,"1 (CR)",IF('DB'!$FI$4=2,"5 (EN)","10 (VU)")))</f>
        <v>1 (CR)</v>
      </c>
      <c r="X107" s="227"/>
    </row>
    <row r="108" spans="1:24" ht="12.75">
      <c r="A108" s="226">
        <v>9</v>
      </c>
      <c r="B108" s="220" t="str">
        <f>IF(T108="","x9","b5")</f>
        <v>b5</v>
      </c>
      <c r="C108" s="529" t="str">
        <f>IF(B108="x9","","B2")</f>
        <v>B2</v>
      </c>
      <c r="D108" s="530" t="str">
        <f>IF(OR($E$74=1,'DB'!$ET$4="DD",AND('DB'!$EV$4='DB'!$ET$4,'DB'!$HN$4='DB'!$HL$4)),"Number of 10 x 10 km grid cells occupied (AOO):","")</f>
        <v>Number of 10 x 10 km grid cells occupied (AOO):</v>
      </c>
      <c r="E108" s="548"/>
      <c r="F108" s="530"/>
      <c r="G108" s="532"/>
      <c r="H108" s="533"/>
      <c r="I108" s="533"/>
      <c r="J108" s="533"/>
      <c r="K108" s="533"/>
      <c r="L108" s="533"/>
      <c r="M108" s="534"/>
      <c r="N108" s="533"/>
      <c r="O108" s="533"/>
      <c r="P108" s="533"/>
      <c r="Q108" s="533"/>
      <c r="R108" s="533"/>
      <c r="S108" s="542"/>
      <c r="T108" s="536" t="str">
        <f>IF(D108="","",'DB'!$AN$4)</f>
        <v>DD</v>
      </c>
      <c r="U108" s="537"/>
      <c r="V108" s="544" t="str">
        <f>IF(W108="","","&lt;")</f>
        <v>&lt;</v>
      </c>
      <c r="W108" s="538" t="str">
        <f>IF(T108="","",IF('DB'!$FJ$4=3,"2 (CR)",IF('DB'!$FJ$4=2,"20 (EN)","50 (VU)")))</f>
        <v>2 (CR)</v>
      </c>
      <c r="X108" s="227"/>
    </row>
    <row r="109" spans="1:24" ht="13.5" thickBot="1">
      <c r="A109" s="551"/>
      <c r="B109" s="552"/>
      <c r="C109" s="175"/>
      <c r="D109" s="553"/>
      <c r="E109" s="554"/>
      <c r="F109" s="554"/>
      <c r="G109" s="555"/>
      <c r="H109" s="177"/>
      <c r="I109" s="177"/>
      <c r="J109" s="177"/>
      <c r="K109" s="177"/>
      <c r="L109" s="177"/>
      <c r="M109" s="556"/>
      <c r="N109" s="177"/>
      <c r="O109" s="177"/>
      <c r="P109" s="177"/>
      <c r="Q109" s="177"/>
      <c r="R109" s="177"/>
      <c r="S109" s="557"/>
      <c r="T109" s="558"/>
      <c r="U109" s="174"/>
      <c r="V109" s="172"/>
      <c r="W109" s="173"/>
      <c r="X109" s="227"/>
    </row>
    <row r="110" spans="1:24" ht="13.5" thickBot="1">
      <c r="A110" s="197" t="s">
        <v>188</v>
      </c>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9"/>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mackenb</dc:creator>
  <cp:keywords/>
  <dc:description/>
  <cp:lastModifiedBy>veg</cp:lastModifiedBy>
  <cp:lastPrinted>2012-05-25T04:49:30Z</cp:lastPrinted>
  <dcterms:created xsi:type="dcterms:W3CDTF">2010-04-16T08:41:51Z</dcterms:created>
  <dcterms:modified xsi:type="dcterms:W3CDTF">2015-08-03T06:08:24Z</dcterms:modified>
  <cp:category/>
  <cp:version/>
  <cp:contentType/>
  <cp:contentStatus/>
</cp:coreProperties>
</file>